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tart here" sheetId="1" state="visible" r:id="rId3"/>
    <sheet name="About" sheetId="2" state="visible" r:id="rId4"/>
    <sheet name="Inputs" sheetId="3" state="visible" r:id="rId5"/>
    <sheet name="Balance" sheetId="4" state="visible" r:id="rId6"/>
    <sheet name="Stack" sheetId="5" state="visible" r:id="rId7"/>
    <sheet name="Contracts" sheetId="6" state="visible" r:id="rId8"/>
    <sheet name="Post numbers" sheetId="7" state="visible" r:id="rId9"/>
    <sheet name="Charts" sheetId="8" state="visible" r:id="rId10"/>
    <sheet name="Checks" sheetId="9" state="visible" r:id="rId11"/>
    <sheet name="Sources" sheetId="10" state="visible" r:id="rId12"/>
    <sheet name="Extras" sheetId="11" state="visible" r:id="rId13"/>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<sst xmlns="http://schemas.openxmlformats.org/spreadsheetml/2006/main" count="1134" uniqueCount="783">
  <si>
    <t xml:space="preserve">Start here: pick the case in the yellow cells, then read the twelve numbers below. Everything else in the workbook is the working behind them.</t>
  </si>
  <si>
    <t xml:space="preserve">Policy</t>
  </si>
  <si>
    <t xml:space="preserve">Current</t>
  </si>
  <si>
    <t xml:space="preserve">Current  ·  Draft (75%/15 years)  ·  Corrected (capped two-part tranche + storage)</t>
  </si>
  <si>
    <t xml:space="preserve">LNG price case (DES, before the delivery adder)</t>
  </si>
  <si>
    <t xml:space="preserve">$15</t>
  </si>
  <si>
    <t xml:space="preserve">$10, $15, $25 or Actual (= JKM Dec-26 settlement, Inputs C19)</t>
  </si>
  <si>
    <t xml:space="preserve">Coal price case</t>
  </si>
  <si>
    <t xml:space="preserve">2025</t>
  </si>
  <si>
    <t xml:space="preserve">2025 (Newcastle average) or Oct-2026</t>
  </si>
  <si>
    <t xml:space="preserve">Fixed-cost case for the capacity payment</t>
  </si>
  <si>
    <t xml:space="preserve">Low</t>
  </si>
  <si>
    <t xml:space="preserve">Low (Inputs D9) or High (Inputs D10)</t>
  </si>
  <si>
    <t xml:space="preserve">Resolved values used by the model</t>
  </si>
  <si>
    <t xml:space="preserve">Policy index (1 Current, 2 Draft, 3 Corrected)</t>
  </si>
  <si>
    <t xml:space="preserve">LNG price, DES (US$/MMBtu)</t>
  </si>
  <si>
    <t xml:space="preserve">LNG delivered to the plant incl. adder (US$/MMBtu)</t>
  </si>
  <si>
    <t xml:space="preserve">Coal price (US$/t)</t>
  </si>
  <si>
    <t xml:space="preserve">Fixed cost (US$/kW-yr)</t>
  </si>
  <si>
    <t xml:space="preserve">LNG fuel cost (US$/MWh) = heat rate × delivered price</t>
  </si>
  <si>
    <t xml:space="preserve">Coal fuel cost (US$/MWh) = price ÷ (CV × efficiency)</t>
  </si>
  <si>
    <t xml:space="preserve">Non-fuel element of the 2026 ceiling (US$/MWh)</t>
  </si>
  <si>
    <t xml:space="preserve">LNG all-in cost at the scenario price (US$/MWh)</t>
  </si>
  <si>
    <t xml:space="preserve">Policy changes which projects count on Balance and whether capacity is paid for; LNG price moves Stack and Contracts; coal price moves the gaps on Stack; fixed cost moves the capacity bill. In 2026 LNG and coal moved together (Hormuz).</t>
  </si>
  <si>
    <t xml:space="preserve">The story in twelve numbers (at the selected case)</t>
  </si>
  <si>
    <t xml:space="preserve">What</t>
  </si>
  <si>
    <t xml:space="preserve">Value</t>
  </si>
  <si>
    <t xml:space="preserve">Second value</t>
  </si>
  <si>
    <t xml:space="preserve">Where it comes from</t>
  </si>
  <si>
    <t xml:space="preserve">1. The rule: minimum contracted output for a new LNG plant (Qc), for at most this many years</t>
  </si>
  <si>
    <t xml:space="preserve">Inputs K1–K2 (Decree 100/2025)</t>
  </si>
  <si>
    <t xml:space="preserve">2. LNG capacity operating vs the 2030 plan (MW), and the share</t>
  </si>
  <si>
    <t xml:space="preserve">Charts C1 block; Inputs D11, G4</t>
  </si>
  <si>
    <t xml:space="preserve">3. Fuel cost gap, LNG at US$10 vs coal at the 2025 average (US$/MWh)</t>
  </si>
  <si>
    <t xml:space="preserve">Stack: the structural gap</t>
  </si>
  <si>
    <t xml:space="preserve">4. The same gap since the war: Sep-27 strip and Dec-26 JKM vs October coal (US$/MWh)</t>
  </si>
  <si>
    <t xml:space="preserve">Stack: the shock gap</t>
  </si>
  <si>
    <t xml:space="preserve">5. LNG fuel at the Dec-26 JKM as a multiple of the 2026 gas-plant price ceiling</t>
  </si>
  <si>
    <t xml:space="preserve">Stack</t>
  </si>
  <si>
    <t xml:space="preserve">6. The tariff cut: VND/kWh, and US$ bn over the five months reported</t>
  </si>
  <si>
    <t xml:space="preserve">Post numbers; Decision 2892</t>
  </si>
  <si>
    <t xml:space="preserve">7. One 1 GW plant under the 65% rule: buyer's cost above market (US$ m/yr) and the plant's stranded fuel (US$ m/yr)</t>
  </si>
  <si>
    <t xml:space="preserve">Contracts, columns C</t>
  </si>
  <si>
    <t xml:space="preserve">8. The same plant under a two-part contract: buyer's cost above market (US$ m/yr); fixed-cost cover under the 65% rule</t>
  </si>
  <si>
    <t xml:space="preserve">Contracts, columns E and C</t>
  </si>
  <si>
    <t xml:space="preserve">9. Capacity bill on the capped 4.2 GW tranche: low and high, % of the retail tariff</t>
  </si>
  <si>
    <t xml:space="preserve">Post numbers, capacity-bill table (chart C4)</t>
  </si>
  <si>
    <t xml:space="preserve">10. Capacity bill on the full 22.5 GW plan: low and high, % of the retail tariff</t>
  </si>
  <si>
    <t xml:space="preserve">Post numbers (chart C4); compare Thailand 17%</t>
  </si>
  <si>
    <t xml:space="preserve">11. Hours of full-load shortage a year that pay for 1 GW of firm capacity (low / high fixed cost)</t>
  </si>
  <si>
    <t xml:space="preserve">Post numbers; Inputs K14 (2023 outage value)</t>
  </si>
  <si>
    <t xml:space="preserve">12. Residual capacity gap in 2030 under the current rule and under the corrected path (MW)</t>
  </si>
  <si>
    <t xml:space="preserve">Balance, policy blocks 1 and 3 (chart C3)</t>
  </si>
  <si>
    <t xml:space="preserve">How the sheets fit together</t>
  </si>
  <si>
    <t xml:space="preserve">Start here</t>
  </si>
  <si>
    <t xml:space="preserve">Pick the case (yellow cells) and read the twelve numbers. Green = linked from another sheet.</t>
  </si>
  <si>
    <t xml:space="preserve">About</t>
  </si>
  <si>
    <t xml:space="preserve">What the model is, what it is not, the colour key, units and licence.</t>
  </si>
  <si>
    <t xml:space="preserve">Inputs</t>
  </si>
  <si>
    <t xml:space="preserve">Every number the model uses. Section K at the top holds the levers that drive the story; the rest is base data with a source and a reliability flag on each line.</t>
  </si>
  <si>
    <t xml:space="preserve">Balance</t>
  </si>
  <si>
    <t xml:space="preserve">Demand and the ministry's shortfall by year, the list of projects that could close it, and the residual gap under each of the three policies (chart C3).</t>
  </si>
  <si>
    <t xml:space="preserve">What a megawatt-hour costs from each source at the chosen prices: the ladder in chart C2 and the three gaps.</t>
  </si>
  <si>
    <t xml:space="preserve">Contracts</t>
  </si>
  <si>
    <t xml:space="preserve">One 1 GW plant for one year under the 65% rule, the 75% draft and a two-part contract: who pays what, and whether the plant covers its fixed cost.</t>
  </si>
  <si>
    <t xml:space="preserve">Post numbers</t>
  </si>
  <si>
    <t xml:space="preserve">Every other figure in the post, with its formula: the capacity-bill table (chart C4), the tariff cut, breakeven hours, headroom.</t>
  </si>
  <si>
    <t xml:space="preserve">Charts</t>
  </si>
  <si>
    <t xml:space="preserve">The data behind charts C1–C5.</t>
  </si>
  <si>
    <t xml:space="preserve">Checks</t>
  </si>
  <si>
    <t xml:space="preserve">Eight sanity checks against published figures.</t>
  </si>
  <si>
    <t xml:space="preserve">Sources</t>
  </si>
  <si>
    <t xml:space="preserve">The public documents behind Inputs.</t>
  </si>
  <si>
    <t xml:space="preserve">Extras</t>
  </si>
  <si>
    <t xml:space="preserve">Working not needed to follow the post: the domestic gas and LNG balance, and the nine-case grid (three policies × three LNG prices).</t>
  </si>
  <si>
    <t xml:space="preserve">Marginal Barrel — Country gas–power balance model</t>
  </si>
  <si>
    <t xml:space="preserve">Country 2: Vietnam  ·  file vietnam-gas-power-balance-v1  ·  version 1.0  ·  13 November 2026 (draft 7 Nov 2026)</t>
  </si>
  <si>
    <t xml:space="preserve">What this is</t>
  </si>
  <si>
    <t xml:space="preserve">Vietnam's power balance 2025–2030 with the ministry's own shortfall forecast and the additions that could close it; the marginal-cost stack (what a megawatt-hour costs from coal, from the market and from LNG at several prices); a Contracts sheet that prices one 1 GW LNG plant under the current 65% offtake rule, the ministry's 75% draft and a two-part capacity-plus-fuel contract; and a nine-case grid (three policies × three LNG prices).</t>
  </si>
  <si>
    <t xml:space="preserve">Model output, not a forecast</t>
  </si>
  <si>
    <t xml:space="preserve">Every number is a model output from the inputs on the Inputs sheet. It is not a forecast of prices, volumes, dispatch or shortages. Public data only; our own arithmetic is labelled 'our calc'.</t>
  </si>
  <si>
    <t xml:space="preserve">How to use it</t>
  </si>
  <si>
    <t xml:space="preserve">Change the blue cells on Inputs and the selectors on Scenarios. Everything else recalculates. Outputs shows the full scenario grid; Charts holds the data behind charts C1–C5 in the post.</t>
  </si>
  <si>
    <t xml:space="preserve">Colour key</t>
  </si>
  <si>
    <t xml:space="preserve">Blue text = hard-coded input with a source.  Orange text = assumption pending a better source (change these first).  Black = formula.  Green = link to another sheet.  Yellow fill = scenario selector.</t>
  </si>
  <si>
    <t xml:space="preserve">Units</t>
  </si>
  <si>
    <t xml:space="preserve">Power in TWh and MW. Prices in VND/kWh and US$/MWh (FX on Inputs). Fuel in US$/MMBtu; heat rates in Btu/kWh (MOIT convention). Gas in bcm and Mt of LNG. Money in US$ bn and VND trillion (VND tn).</t>
  </si>
  <si>
    <t xml:space="preserve">Sheets</t>
  </si>
  <si>
    <t xml:space="preserve">Inputs · Scenarios · Balance (2025–2030, three policies side by side) · Gas_LNG (domestic gas, Block B, LNG need) · Stack (marginal-cost ladder, chart C2) · Contracts (one 1 GW plant under three structures) · Outputs (9-case grid) · Charts (C1–C5 data) · Checks · Sources</t>
  </si>
  <si>
    <t xml:space="preserve">Reuse</t>
  </si>
  <si>
    <t xml:space="preserve">Same layout as indonesia-gas-balance-v1. To build another country, change only Inputs and the addition list on Balance. A country with no offtake rule sets the Qc share to zero on Contracts.</t>
  </si>
  <si>
    <t xml:space="preserve">Licence</t>
  </si>
  <si>
    <t xml:space="preserve">Free with the first release of this model (Marginal Barrel library, marginalbarrel.com/library/vietnam-gas-power-balance-v1). Later versions go to the paid tier. Do not resell.</t>
  </si>
  <si>
    <t xml:space="preserve">Revision note</t>
  </si>
  <si>
    <t xml:space="preserve">Draft 7 Nov 2026 for the 13 Nov post. Open and save once in Excel to cache values if your viewer shows blanks.</t>
  </si>
  <si>
    <t xml:space="preserve">ID</t>
  </si>
  <si>
    <t xml:space="preserve">Parameter</t>
  </si>
  <si>
    <t xml:space="preserve">Unit</t>
  </si>
  <si>
    <t xml:space="preserve">Source</t>
  </si>
  <si>
    <t xml:space="preserve">Date</t>
  </si>
  <si>
    <t xml:space="preserve">Reliability</t>
  </si>
  <si>
    <t xml:space="preserve">Note</t>
  </si>
  <si>
    <t xml:space="preserve">K. The inputs that drive the story — change these first</t>
  </si>
  <si>
    <t xml:space="preserve">K1</t>
  </si>
  <si>
    <t xml:space="preserve">Minimum contracted output (Qc) — current rule</t>
  </si>
  <si>
    <t xml:space="preserve">% of average output</t>
  </si>
  <si>
    <t xml:space="preserve">Decree 100/2025/NĐ-CP (8 May 2025), Art. 1(2), amending Art. 15 of Decree 56/2025</t>
  </si>
  <si>
    <t xml:space="preserve">May 2025</t>
  </si>
  <si>
    <t xml:space="preserve">verified (primary)</t>
  </si>
  <si>
    <t xml:space="preserve">K2</t>
  </si>
  <si>
    <t xml:space="preserve">Qc term — current rule</t>
  </si>
  <si>
    <t xml:space="preserve">years</t>
  </si>
  <si>
    <t xml:space="preserve">Decree 100/2025: during principal-and-interest repayment, not more than 10 years from COD</t>
  </si>
  <si>
    <t xml:space="preserve">K3</t>
  </si>
  <si>
    <t xml:space="preserve">Qc — ministry draft</t>
  </si>
  <si>
    <t xml:space="preserve">Government submission to the NA Standing Committee (Nov 2025) via VnExpress/VIR; MOIT draft decree via Tuoi Tre News, 20 Jan 2026</t>
  </si>
  <si>
    <t xml:space="preserve">Nov 2025–Jan 2026</t>
  </si>
  <si>
    <t xml:space="preserve">verified (draft; not adopted)</t>
  </si>
  <si>
    <t xml:space="preserve">K4</t>
  </si>
  <si>
    <t xml:space="preserve">Qc term — ministry draft</t>
  </si>
  <si>
    <t xml:space="preserve">Same</t>
  </si>
  <si>
    <t xml:space="preserve">verified (draft)</t>
  </si>
  <si>
    <t xml:space="preserve">K5</t>
  </si>
  <si>
    <t xml:space="preserve">Basis of 'average multi-year output': planned load factor</t>
  </si>
  <si>
    <t xml:space="preserve">% of nameplate</t>
  </si>
  <si>
    <t xml:space="preserve">Assumption: Decree 100 defers the definition to MOIT's generation-price methodology and the PPA; the 2026 ceiling uses 85% load</t>
  </si>
  <si>
    <t xml:space="preserve">assumption</t>
  </si>
  <si>
    <t xml:space="preserve">Key open input</t>
  </si>
  <si>
    <t xml:space="preserve">K6</t>
  </si>
  <si>
    <t xml:space="preserve">Actual dispatch capacity factor of an LNG plant</t>
  </si>
  <si>
    <t xml:space="preserve">%</t>
  </si>
  <si>
    <t xml:space="preserve">Our calc: Nhon Trach 3&amp;4 Jan–Apr 2026 = 28% of a 5.4 TWh full-year forecast (Vietcap via The Investor, 8 Jun 2026) → ~38% CF if the forecast holds</t>
  </si>
  <si>
    <t xml:space="preserve">2026</t>
  </si>
  <si>
    <t xml:space="preserve">our calc (broker forecast)</t>
  </si>
  <si>
    <t xml:space="preserve">K7</t>
  </si>
  <si>
    <t xml:space="preserve">LNG take-or-pay share of the plant's contracted annual fuel (at the Qc level)</t>
  </si>
  <si>
    <t xml:space="preserve">Assumption; Hogan Lovells (14 May 2026): LNG take-or-pay and terminal capacity charges are not mirrored in the PPA. No contract terms are public</t>
  </si>
  <si>
    <t xml:space="preserve">K8</t>
  </si>
  <si>
    <t xml:space="preserve">Fixed cost of an LNG CCGT — low case</t>
  </si>
  <si>
    <t xml:space="preserve">US$/kW-yr</t>
  </si>
  <si>
    <t xml:space="preserve">Our calc: non-fuel element of MOIT's 2024 ceiling (2,590.85 at 10.56 c; 6,330 Btu/kWh; gas US$12.98 → ~US$23/MWh) at 85% load</t>
  </si>
  <si>
    <t xml:space="preserve">2024</t>
  </si>
  <si>
    <t xml:space="preserve">our calc</t>
  </si>
  <si>
    <t xml:space="preserve">K9</t>
  </si>
  <si>
    <t xml:space="preserve">Fixed cost of an LNG CCGT — high case</t>
  </si>
  <si>
    <t xml:space="preserve">Our calc: non-fuel element of the 2026 ceiling (C5 less fuel at C2–C4) at 85% load. Includes variable O&amp;M, so it is an upper bound</t>
  </si>
  <si>
    <t xml:space="preserve">K10</t>
  </si>
  <si>
    <t xml:space="preserve">JKM, Dec-26 contract settlement</t>
  </si>
  <si>
    <t xml:space="preserve">US$/MMBtu</t>
  </si>
  <si>
    <t xml:space="preserve">CME Group JKM futures settlements, trade date 6 Nov 2026 (public page)</t>
  </si>
  <si>
    <t xml:space="preserve">6 Nov 2026</t>
  </si>
  <si>
    <t xml:space="preserve">verified</t>
  </si>
  <si>
    <t xml:space="preserve">K11</t>
  </si>
  <si>
    <t xml:space="preserve">JKM, Sep-27 contract settlement</t>
  </si>
  <si>
    <t xml:space="preserve">CME Group, 6 Nov 2026</t>
  </si>
  <si>
    <t xml:space="preserve">K12</t>
  </si>
  <si>
    <t xml:space="preserve">Newcastle 6,000 kcal coal, 2025 average</t>
  </si>
  <si>
    <t xml:space="preserve">US$/t</t>
  </si>
  <si>
    <t xml:space="preserve">World Bank Pink Sheet, 3 Nov 2026</t>
  </si>
  <si>
    <t xml:space="preserve">K13</t>
  </si>
  <si>
    <t xml:space="preserve">Newcastle 6,000 kcal coal, October 2026</t>
  </si>
  <si>
    <t xml:space="preserve">Oct 2026</t>
  </si>
  <si>
    <t xml:space="preserve">K14</t>
  </si>
  <si>
    <t xml:space="preserve">Cost of unserved energy</t>
  </si>
  <si>
    <t xml:space="preserve">US$/MWh</t>
  </si>
  <si>
    <t xml:space="preserve">Our calc: E1 ÷ E2 (the 2023 outage cost over the energy not served). Sensitivity 500–2,000</t>
  </si>
  <si>
    <t xml:space="preserve">K15</t>
  </si>
  <si>
    <t xml:space="preserve">Two-hour BESS capacity price — low</t>
  </si>
  <si>
    <t xml:space="preserve">US$/MW-month</t>
  </si>
  <si>
    <t xml:space="preserve">ESS News, 12 Feb 2026 (Rajasthan tender)</t>
  </si>
  <si>
    <t xml:space="preserve">Feb 2026</t>
  </si>
  <si>
    <t xml:space="preserve">single-source</t>
  </si>
  <si>
    <t xml:space="preserve">K16</t>
  </si>
  <si>
    <t xml:space="preserve">Two-hour BESS capacity price — high</t>
  </si>
  <si>
    <t xml:space="preserve">ESS News, 12 Feb 2026 (GUVNL tender)</t>
  </si>
  <si>
    <t xml:space="preserve">K17</t>
  </si>
  <si>
    <t xml:space="preserve">Storage in the ministry's 2027 proposal (midpoint of 2,000–3,000)</t>
  </si>
  <si>
    <t xml:space="preserve">MW</t>
  </si>
  <si>
    <t xml:space="preserve">MOIT via Tiền Phong, 15 Sep 2026 (2,000–3,000 MW by June 2027, with 2,800 MW solar)</t>
  </si>
  <si>
    <t xml:space="preserve">Sep 2026</t>
  </si>
  <si>
    <t xml:space="preserve">press</t>
  </si>
  <si>
    <t xml:space="preserve">A. Power system base year and demand (base data)</t>
  </si>
  <si>
    <t xml:space="preserve">A1</t>
  </si>
  <si>
    <t xml:space="preserve">Generation and imports, 2025</t>
  </si>
  <si>
    <t xml:space="preserve">TWh</t>
  </si>
  <si>
    <t xml:space="preserve">EVN 2025 review via Vietnam Energy, early 2026</t>
  </si>
  <si>
    <t xml:space="preserve">A2</t>
  </si>
  <si>
    <t xml:space="preserve">Commercial electricity sales, 2025 (denominator for VND/kWh burdens)</t>
  </si>
  <si>
    <t xml:space="preserve">VietnamNet, early 2026 (EVN figure)</t>
  </si>
  <si>
    <t xml:space="preserve">A3</t>
  </si>
  <si>
    <t xml:space="preserve">Generation and imports growth, 2026 (year to date)</t>
  </si>
  <si>
    <t xml:space="preserve">%/yr</t>
  </si>
  <si>
    <t xml:space="preserve">EVN press release 6 Oct 2026: 265.79 TWh in 9M 2026, +9.3% y/y</t>
  </si>
  <si>
    <t xml:space="preserve">A4</t>
  </si>
  <si>
    <t xml:space="preserve">Demand growth, 2027–30</t>
  </si>
  <si>
    <t xml:space="preserve">MOIT 2026 base-case growth scenario via Vietnam News, 12 May 2026 (8.5%; high case 14.1%). PDP8's 2030 output (560.4–624.6 TWh) implies ~11–14%/yr</t>
  </si>
  <si>
    <t xml:space="preserve">May 2026</t>
  </si>
  <si>
    <t xml:space="preserve">Switch to 0.11–0.14 to test the PDP8 path</t>
  </si>
  <si>
    <t xml:space="preserve">A5</t>
  </si>
  <si>
    <t xml:space="preserve">Record peak demand, 2026</t>
  </si>
  <si>
    <t xml:space="preserve">EVN H1 2026 report (late June 2026)</t>
  </si>
  <si>
    <t xml:space="preserve">Jun 2026</t>
  </si>
  <si>
    <t xml:space="preserve">A6</t>
  </si>
  <si>
    <t xml:space="preserve">Generation and imports, 9M 2026</t>
  </si>
  <si>
    <t xml:space="preserve">EVN press release 6 Oct 2026</t>
  </si>
  <si>
    <t xml:space="preserve">A7</t>
  </si>
  <si>
    <t xml:space="preserve">Coal share, 9M 2026</t>
  </si>
  <si>
    <t xml:space="preserve">EVN 6 Oct 2026: 132.63 TWh of 265.79</t>
  </si>
  <si>
    <t xml:space="preserve">A8</t>
  </si>
  <si>
    <t xml:space="preserve">Hydro share, 9M 2026</t>
  </si>
  <si>
    <t xml:space="preserve">EVN 6 Oct 2026: 68.48 TWh</t>
  </si>
  <si>
    <t xml:space="preserve">A9</t>
  </si>
  <si>
    <t xml:space="preserve">Gas turbine share, 9M 2026</t>
  </si>
  <si>
    <t xml:space="preserve">EVN 6 Oct 2026: 20.48 TWh</t>
  </si>
  <si>
    <t xml:space="preserve">A10</t>
  </si>
  <si>
    <t xml:space="preserve">Renewables share, 9M 2026 (solar 21.5, wind 10.85 TWh)</t>
  </si>
  <si>
    <t xml:space="preserve">EVN 6 Oct 2026: 33.6 TWh</t>
  </si>
  <si>
    <t xml:space="preserve">A11</t>
  </si>
  <si>
    <t xml:space="preserve">Imports share, 9M 2026</t>
  </si>
  <si>
    <t xml:space="preserve">EVN 6 Oct 2026: 10.3 TWh</t>
  </si>
  <si>
    <t xml:space="preserve">A12</t>
  </si>
  <si>
    <t xml:space="preserve">Coal share, H1 2026</t>
  </si>
  <si>
    <t xml:space="preserve">EVN H1 2026 report: 93.44 of 171.54 TWh</t>
  </si>
  <si>
    <t xml:space="preserve">A13</t>
  </si>
  <si>
    <t xml:space="preserve">Coal imports, 2024 (energy)</t>
  </si>
  <si>
    <t xml:space="preserve">TJ</t>
  </si>
  <si>
    <t xml:space="preserve">IEA, Viet Nam coal imports and exports (TJ)</t>
  </si>
  <si>
    <t xml:space="preserve">A14</t>
  </si>
  <si>
    <t xml:space="preserve">Coal production, 2024 (energy)</t>
  </si>
  <si>
    <t xml:space="preserve">IEA, Viet Nam total coal production (TJ)</t>
  </si>
  <si>
    <t xml:space="preserve">A15</t>
  </si>
  <si>
    <t xml:space="preserve">Coal exports, 2024 (energy)</t>
  </si>
  <si>
    <t xml:space="preserve">A16</t>
  </si>
  <si>
    <t xml:space="preserve">Coal imports, 2018 (energy)</t>
  </si>
  <si>
    <t xml:space="preserve">2018</t>
  </si>
  <si>
    <t xml:space="preserve">A17</t>
  </si>
  <si>
    <t xml:space="preserve">Coal production, 2018 (energy)</t>
  </si>
  <si>
    <t xml:space="preserve">B. The ministry's shortfall forecast (base data; press report of the September 2026 report to the Prime Minister)</t>
  </si>
  <si>
    <t xml:space="preserve">B1</t>
  </si>
  <si>
    <t xml:space="preserve">National capacity shortfall, 2027</t>
  </si>
  <si>
    <t xml:space="preserve">MOIT report via Tiền Phong (15 Sep 2026) and Báo Đấu thầu (18 Sep 2026); primary report not seen</t>
  </si>
  <si>
    <t xml:space="preserve">press (two outlets agree)</t>
  </si>
  <si>
    <t xml:space="preserve">B1t</t>
  </si>
  <si>
    <t xml:space="preserve">National energy shortfall, 2027</t>
  </si>
  <si>
    <t xml:space="preserve">B2</t>
  </si>
  <si>
    <t xml:space="preserve">National capacity shortfall, 2028</t>
  </si>
  <si>
    <t xml:space="preserve">B2t</t>
  </si>
  <si>
    <t xml:space="preserve">National energy shortfall, 2028</t>
  </si>
  <si>
    <t xml:space="preserve">B3</t>
  </si>
  <si>
    <t xml:space="preserve">National capacity shortfall, 2029</t>
  </si>
  <si>
    <t xml:space="preserve">B3t</t>
  </si>
  <si>
    <t xml:space="preserve">National energy shortfall, 2029</t>
  </si>
  <si>
    <t xml:space="preserve">B4</t>
  </si>
  <si>
    <t xml:space="preserve">National capacity shortfall, 2030</t>
  </si>
  <si>
    <t xml:space="preserve">B4t</t>
  </si>
  <si>
    <t xml:space="preserve">National energy shortfall, 2030</t>
  </si>
  <si>
    <t xml:space="preserve">B5</t>
  </si>
  <si>
    <t xml:space="preserve">Northern capacity shortfall, 2027</t>
  </si>
  <si>
    <t xml:space="preserve">Same. North exceeds national in 2027 and 2029 as reported; kept as published</t>
  </si>
  <si>
    <t xml:space="preserve">press (anomaly flagged)</t>
  </si>
  <si>
    <t xml:space="preserve">B6</t>
  </si>
  <si>
    <t xml:space="preserve">Northern capacity shortfall, 2028</t>
  </si>
  <si>
    <t xml:space="preserve">B7</t>
  </si>
  <si>
    <t xml:space="preserve">Northern capacity shortfall, 2029</t>
  </si>
  <si>
    <t xml:space="preserve">B8</t>
  </si>
  <si>
    <t xml:space="preserve">Northern capacity shortfall, 2030</t>
  </si>
  <si>
    <t xml:space="preserve">B9</t>
  </si>
  <si>
    <t xml:space="preserve">Firm-capacity credit applied to additions when netting against the MW shortfall</t>
  </si>
  <si>
    <t xml:space="preserve">Assumption: thermal availability ~90%; imports and storage at 100% (set per row on Balance)</t>
  </si>
  <si>
    <t xml:space="preserve">C. Prices and conversions (base data)</t>
  </si>
  <si>
    <t xml:space="preserve">C1</t>
  </si>
  <si>
    <t xml:space="preserve">Exchange rate</t>
  </si>
  <si>
    <t xml:space="preserve">VND/US$</t>
  </si>
  <si>
    <t xml:space="preserve">MOIT Decision 1882/QĐ-BCT, 23 Jul 2026 (rate used for the 2026 CCGT ceiling)</t>
  </si>
  <si>
    <t xml:space="preserve">Jul 2026</t>
  </si>
  <si>
    <t xml:space="preserve">C2</t>
  </si>
  <si>
    <t xml:space="preserve">CCGT net heat rate at 85% load</t>
  </si>
  <si>
    <t xml:space="preserve">Btu/kWh</t>
  </si>
  <si>
    <t xml:space="preserve">MOIT Decision 1882/QĐ-BCT, Art. 1(2)</t>
  </si>
  <si>
    <t xml:space="preserve">C3</t>
  </si>
  <si>
    <t xml:space="preserve">Gas price used in the 2026 CCGT ceiling</t>
  </si>
  <si>
    <t xml:space="preserve">MOIT Decision 1882/QĐ-BCT</t>
  </si>
  <si>
    <t xml:space="preserve">C4</t>
  </si>
  <si>
    <t xml:space="preserve">Fuel transport/delivery adder to the plant</t>
  </si>
  <si>
    <t xml:space="preserve">C5</t>
  </si>
  <si>
    <t xml:space="preserve">CCGT generation price ceiling, 2026 (ex-VAT)</t>
  </si>
  <si>
    <t xml:space="preserve">VND/kWh</t>
  </si>
  <si>
    <t xml:space="preserve">MOIT Decision 1882/QĐ-BCT; range 0–3,410.64</t>
  </si>
  <si>
    <t xml:space="preserve">C6</t>
  </si>
  <si>
    <t xml:space="preserve">CCGT generation price ceiling, 2024 (ex-VAT)</t>
  </si>
  <si>
    <t xml:space="preserve">MOIT 2024 framework via VnExpress (May 2025 recap)</t>
  </si>
  <si>
    <t xml:space="preserve">C7</t>
  </si>
  <si>
    <t xml:space="preserve">Reference plant net capacity in the 2026 ceiling</t>
  </si>
  <si>
    <t xml:space="preserve">C8</t>
  </si>
  <si>
    <t xml:space="preserve">Ceiling load factor</t>
  </si>
  <si>
    <t xml:space="preserve">MOIT Decision 1882/QĐ-BCT (heat rate stated at 85% load)</t>
  </si>
  <si>
    <t xml:space="preserve">C9</t>
  </si>
  <si>
    <t xml:space="preserve">Average retail price from 1 Nov 2026 (ex-VAT)</t>
  </si>
  <si>
    <t xml:space="preserve">MOIT Decision 2892/QĐ-BCT (31 Oct 2026), Art. 2; EVN Decision 1305/QĐ-EVN (30 Oct 2026)</t>
  </si>
  <si>
    <t xml:space="preserve">C10</t>
  </si>
  <si>
    <t xml:space="preserve">Average retail price before 1 Nov 2026</t>
  </si>
  <si>
    <t xml:space="preserve">VietnamPlus, 31 Oct 2026 (2,204.07); 2% cut checks</t>
  </si>
  <si>
    <t xml:space="preserve">C11</t>
  </si>
  <si>
    <t xml:space="preserve">EVN unit cost of electricity, 2025</t>
  </si>
  <si>
    <t xml:space="preserve">MOIT/MOF cost inspection via CafeF, 28 Oct 2026</t>
  </si>
  <si>
    <t xml:space="preserve">C12</t>
  </si>
  <si>
    <t xml:space="preserve">Prime Minister's band for the average retail price — ceiling</t>
  </si>
  <si>
    <t xml:space="preserve">Decision 07/2025/QĐ-TTg via CafeF and VnEconomy</t>
  </si>
  <si>
    <t xml:space="preserve">Mar 2025</t>
  </si>
  <si>
    <t xml:space="preserve">C13</t>
  </si>
  <si>
    <t xml:space="preserve">Prime Minister's band — floor</t>
  </si>
  <si>
    <t xml:space="preserve">Decision 07/2025/QĐ-TTg</t>
  </si>
  <si>
    <t xml:space="preserve">C14</t>
  </si>
  <si>
    <t xml:space="preserve">Wholesale market price, Q1 2026 (FMP)</t>
  </si>
  <si>
    <t xml:space="preserve">Index.vn, 19 Apr 2026</t>
  </si>
  <si>
    <t xml:space="preserve">Q1 2026</t>
  </si>
  <si>
    <t xml:space="preserve">C15</t>
  </si>
  <si>
    <t xml:space="preserve">Wholesale market price, 2025 average</t>
  </si>
  <si>
    <t xml:space="preserve">The Leader, 22 Jun 2026 (~1,500)</t>
  </si>
  <si>
    <t xml:space="preserve">C16</t>
  </si>
  <si>
    <t xml:space="preserve">Nhon Trach 3&amp;4 selling price — low report</t>
  </si>
  <si>
    <t xml:space="preserve">The Leader, 22 Jun 2026</t>
  </si>
  <si>
    <t xml:space="preserve">conflicting</t>
  </si>
  <si>
    <t xml:space="preserve">Not public; sources conflict</t>
  </si>
  <si>
    <t xml:space="preserve">C17</t>
  </si>
  <si>
    <t xml:space="preserve">Nhon Trach 3&amp;4 selling price — high report</t>
  </si>
  <si>
    <t xml:space="preserve">Vietnam News, 27 Aug 2026 (broker estimate)</t>
  </si>
  <si>
    <t xml:space="preserve">C18</t>
  </si>
  <si>
    <t xml:space="preserve">Reported LNG plant price spike in the 2026 crisis</t>
  </si>
  <si>
    <t xml:space="preserve">The Leader, 22 Jun 2026; Hogan Lovells via Lexology, 14 May 2026 ('approximately VND5,000/kWh')</t>
  </si>
  <si>
    <t xml:space="preserve">C23</t>
  </si>
  <si>
    <t xml:space="preserve">Coal calorific value used for the fuel-cost conversion</t>
  </si>
  <si>
    <t xml:space="preserve">kcal/kg</t>
  </si>
  <si>
    <t xml:space="preserve">Assumption: Newcastle benchmark basis; Vietnam's import blend is lower-CV and cheaper per tonne, so cost per MWh is comparable</t>
  </si>
  <si>
    <t xml:space="preserve">C24</t>
  </si>
  <si>
    <t xml:space="preserve">Coal plant net efficiency</t>
  </si>
  <si>
    <t xml:space="preserve">Assumption: typical supercritical fleet average; replace with EVN/GENCO data when found</t>
  </si>
  <si>
    <t xml:space="preserve">C25</t>
  </si>
  <si>
    <t xml:space="preserve">LNG energy content</t>
  </si>
  <si>
    <t xml:space="preserve">MMBtu/t</t>
  </si>
  <si>
    <t xml:space="preserve">Our convention (Shell contract 20.7m MMBtu ≈ 400 kt, VIR Jan 2026)</t>
  </si>
  <si>
    <t xml:space="preserve">C26</t>
  </si>
  <si>
    <t xml:space="preserve">Gas energy content</t>
  </si>
  <si>
    <t xml:space="preserve">TBtu/bcm</t>
  </si>
  <si>
    <t xml:space="preserve">Assumption (≈1,020 Btu/scf)</t>
  </si>
  <si>
    <t xml:space="preserve">D. Contract design — other (base data)</t>
  </si>
  <si>
    <t xml:space="preserve">D6</t>
  </si>
  <si>
    <t xml:space="preserve">Reference plant size</t>
  </si>
  <si>
    <t xml:space="preserve">Convention</t>
  </si>
  <si>
    <t xml:space="preserve">convention</t>
  </si>
  <si>
    <t xml:space="preserve">D11</t>
  </si>
  <si>
    <t xml:space="preserve">Nhon Trach 3&amp;4 capacity</t>
  </si>
  <si>
    <t xml:space="preserve">Hogan Lovells via Lexology, 14 May 2026; in the competitive market from 1 Jan 2026</t>
  </si>
  <si>
    <t xml:space="preserve">D12</t>
  </si>
  <si>
    <t xml:space="preserve">Nhon Trach 3&amp;4 generation forecast, 2026</t>
  </si>
  <si>
    <t xml:space="preserve">Vietcap via The Investor, 8 Jun 2026</t>
  </si>
  <si>
    <t xml:space="preserve">broker forecast</t>
  </si>
  <si>
    <t xml:space="preserve">D13</t>
  </si>
  <si>
    <t xml:space="preserve">Investor-stated fixed share of an LNG plant's price</t>
  </si>
  <si>
    <t xml:space="preserve">AZEC investor petition (8 Dec 2025) via Vietnam Energy Review, 18 Dec 2025</t>
  </si>
  <si>
    <t xml:space="preserve">Dec 2025</t>
  </si>
  <si>
    <t xml:space="preserve">advocacy</t>
  </si>
  <si>
    <t xml:space="preserve">E. The value of firm capacity and storage — other (base data)</t>
  </si>
  <si>
    <t xml:space="preserve">E1</t>
  </si>
  <si>
    <t xml:space="preserve">Economic cost of the 2023 outages</t>
  </si>
  <si>
    <t xml:space="preserve">US$ bn</t>
  </si>
  <si>
    <t xml:space="preserve">World Bank Taking Stock (Aug 2023) via AFP/BSS, 11 Aug 2023: US$1.4bn, 0.3% of GDP, 1.8 GW peak deficit</t>
  </si>
  <si>
    <t xml:space="preserve">Aug 2023</t>
  </si>
  <si>
    <t xml:space="preserve">verified (via press)</t>
  </si>
  <si>
    <t xml:space="preserve">E2</t>
  </si>
  <si>
    <t xml:space="preserve">Unserved energy in the 2023 outages</t>
  </si>
  <si>
    <t xml:space="preserve">GWh</t>
  </si>
  <si>
    <t xml:space="preserve">VnExpress, 10 Aug 2023 (~900 GWh)</t>
  </si>
  <si>
    <t xml:space="preserve">E6</t>
  </si>
  <si>
    <t xml:space="preserve">Storage operating at EVN utilities, September 2026</t>
  </si>
  <si>
    <t xml:space="preserve">EVN press release 6 Oct 2026: EVNHANOI 50 MW + EVNNPC 155 MW</t>
  </si>
  <si>
    <t xml:space="preserve">E7</t>
  </si>
  <si>
    <t xml:space="preserve">Storage due by October 2026 (additional)</t>
  </si>
  <si>
    <t xml:space="preserve">EVN 6 Oct 2026</t>
  </si>
  <si>
    <t xml:space="preserve">E8</t>
  </si>
  <si>
    <t xml:space="preserve">Storage in investment procedures (North)</t>
  </si>
  <si>
    <t xml:space="preserve">EVN 6 Oct 2026: PMB2 550 MW + EVNGENCO3 300 MW</t>
  </si>
  <si>
    <t xml:space="preserve">E10</t>
  </si>
  <si>
    <t xml:space="preserve">Thailand: availability payments as share of base tariff</t>
  </si>
  <si>
    <t xml:space="preserve">IEEFA (0.63 of 3.78 THB/kWh) — advocacy source</t>
  </si>
  <si>
    <t xml:space="preserve">F. Domestic gas and LNG</t>
  </si>
  <si>
    <t xml:space="preserve">F1</t>
  </si>
  <si>
    <t xml:space="preserve">Domestic gas production, 2025 (annualised from 4.41 bcm in Jan–Sep)</t>
  </si>
  <si>
    <t xml:space="preserve">bcm</t>
  </si>
  <si>
    <t xml:space="preserve">The Shiv/NSO, Oct 2025: 4.41 bcm Jan–Sep 2025, −8.3% y/y (our annualisation)</t>
  </si>
  <si>
    <t xml:space="preserve">F2</t>
  </si>
  <si>
    <t xml:space="preserve">Decline of existing fields</t>
  </si>
  <si>
    <t xml:space="preserve">Same: −8.3% y/y in Jan–Sep 2025</t>
  </si>
  <si>
    <t xml:space="preserve">F3</t>
  </si>
  <si>
    <t xml:space="preserve">Block B first gas</t>
  </si>
  <si>
    <t xml:space="preserve">year</t>
  </si>
  <si>
    <t xml:space="preserve">SGGP, 31 Dec 2025 (August 2027; 5.06 bcm/yr plateau; O Mon plants)</t>
  </si>
  <si>
    <t xml:space="preserve">F4</t>
  </si>
  <si>
    <t xml:space="preserve">Block B plateau</t>
  </si>
  <si>
    <t xml:space="preserve">bcm/yr</t>
  </si>
  <si>
    <t xml:space="preserve">SGGP, 31 Dec 2025</t>
  </si>
  <si>
    <t xml:space="preserve">F5</t>
  </si>
  <si>
    <t xml:space="preserve">Block B ramp: share of plateau in first gas year / +1 / +2</t>
  </si>
  <si>
    <t xml:space="preserve">share</t>
  </si>
  <si>
    <t xml:space="preserve">Assumption (Aug 2027 start → ~5/12 of a 35% first-year rate)</t>
  </si>
  <si>
    <t xml:space="preserve">F6</t>
  </si>
  <si>
    <t xml:space="preserve">Block B ramp: year +1</t>
  </si>
  <si>
    <t xml:space="preserve">Assumption</t>
  </si>
  <si>
    <t xml:space="preserve">F7</t>
  </si>
  <si>
    <t xml:space="preserve">Block B ramp: year +2 and after</t>
  </si>
  <si>
    <t xml:space="preserve">F8</t>
  </si>
  <si>
    <t xml:space="preserve">Share of domestic gas burned in power plants</t>
  </si>
  <si>
    <t xml:space="preserve">Assumption (the balance goes to fertiliser and industry)</t>
  </si>
  <si>
    <t xml:space="preserve">F9</t>
  </si>
  <si>
    <t xml:space="preserve">Heat rate of the domestic-gas fleet</t>
  </si>
  <si>
    <t xml:space="preserve">Assumption (older open- and combined-cycle units; Decree 100 dispatches them to the limit of gas supply)</t>
  </si>
  <si>
    <t xml:space="preserve">F10</t>
  </si>
  <si>
    <t xml:space="preserve">LNG imports, 2025</t>
  </si>
  <si>
    <t xml:space="preserve">Mt</t>
  </si>
  <si>
    <t xml:space="preserve">Policy commission workshop via VietnamNet, 6 Nov 2026 (~500,000 t)</t>
  </si>
  <si>
    <t xml:space="preserve">F11</t>
  </si>
  <si>
    <t xml:space="preserve">Shell term LNG contract, 2027–31</t>
  </si>
  <si>
    <t xml:space="preserve">Mt/yr</t>
  </si>
  <si>
    <t xml:space="preserve">VIR, Jan 2026 (20.7m MMBtu/yr)</t>
  </si>
  <si>
    <t xml:space="preserve">Jan 2026</t>
  </si>
  <si>
    <t xml:space="preserve">F12</t>
  </si>
  <si>
    <t xml:space="preserve">Thi Vai regas capacity, current / expanded</t>
  </si>
  <si>
    <t xml:space="preserve">PV Gas: 1 Mtpa, expandable to 3 Mtpa</t>
  </si>
  <si>
    <t xml:space="preserve">F13</t>
  </si>
  <si>
    <t xml:space="preserve">Thi Vai regas capacity, expanded</t>
  </si>
  <si>
    <t xml:space="preserve">PV Gas</t>
  </si>
  <si>
    <t xml:space="preserve">F14</t>
  </si>
  <si>
    <t xml:space="preserve">BNEF forecast of 2030 LNG imports</t>
  </si>
  <si>
    <t xml:space="preserve">EnergyConnects/Bloomberg, 6 Oct 2026 (cut from 4.9)</t>
  </si>
  <si>
    <t xml:space="preserve">G. Policy and tariff arithmetic</t>
  </si>
  <si>
    <t xml:space="preserve">G1</t>
  </si>
  <si>
    <t xml:space="preserve">Retail price cut, 1 Nov 2026</t>
  </si>
  <si>
    <t xml:space="preserve">Our calc from C9/C10; EVN announced 2%</t>
  </si>
  <si>
    <t xml:space="preserve">G2</t>
  </si>
  <si>
    <t xml:space="preserve">Months the cut is reported to run (1 Nov 2026 – 31 Mar 2027)</t>
  </si>
  <si>
    <t xml:space="preserve">months</t>
  </si>
  <si>
    <t xml:space="preserve">VietnamPlus, 27 Oct 2026 (Deputy PM meeting). Decision 2892 itself has no end date</t>
  </si>
  <si>
    <t xml:space="preserve">G3</t>
  </si>
  <si>
    <t xml:space="preserve">Ministry's gross-purchase figure for 75%/15 years on ~6,000 MW</t>
  </si>
  <si>
    <t xml:space="preserve">VND tn</t>
  </si>
  <si>
    <t xml:space="preserve">The Leader, 22 Jun 2026 (~VND 1.1 quadrillion; '+73%')</t>
  </si>
  <si>
    <t xml:space="preserve">G4</t>
  </si>
  <si>
    <t xml:space="preserve">PDP8 imported-LNG target, 2030</t>
  </si>
  <si>
    <t xml:space="preserve">Decision 768/QĐ-TTg (15 Apr 2025) via Hogan Lovells; VnExpress</t>
  </si>
  <si>
    <t xml:space="preserve">Apr 2025</t>
  </si>
  <si>
    <t xml:space="preserve">G5</t>
  </si>
  <si>
    <t xml:space="preserve">PDP8 imported-LNG target, 2035</t>
  </si>
  <si>
    <t xml:space="preserve">Decision 768/QĐ-TTg via Hogan Lovells</t>
  </si>
  <si>
    <t xml:space="preserve">G6</t>
  </si>
  <si>
    <t xml:space="preserve">PDP8 generation, 2030 (low end)</t>
  </si>
  <si>
    <t xml:space="preserve">Decision 768/QĐ-TTg via The Shiv</t>
  </si>
  <si>
    <t xml:space="preserve">Sources: see the Sources sheet; every input is referenced on Inputs. Model output, not a forecast. Marginal Barrel, vietnam-gas-power-balance-v1.</t>
  </si>
  <si>
    <t xml:space="preserve">Power balance 2025–2030 (TWh, MW). The ministry's shortfall is exogenous; the model nets the additions each policy brings against it. Model output, not a forecast.</t>
  </si>
  <si>
    <t xml:space="preserve">Year</t>
  </si>
  <si>
    <t xml:space="preserve">2027</t>
  </si>
  <si>
    <t xml:space="preserve">2028</t>
  </si>
  <si>
    <t xml:space="preserve">2029</t>
  </si>
  <si>
    <t xml:space="preserve">2030</t>
  </si>
  <si>
    <t xml:space="preserve">Demand</t>
  </si>
  <si>
    <t xml:space="preserve">Generation and imports (TWh)</t>
  </si>
  <si>
    <t xml:space="preserve">Peak demand (MW), 2026 actual then grown with demand</t>
  </si>
  <si>
    <t xml:space="preserve">Ministry's capacity shortfall (MW)</t>
  </si>
  <si>
    <t xml:space="preserve">Ministry's energy shortfall (TWh)</t>
  </si>
  <si>
    <t xml:space="preserve">Energy shortfall as share of demand</t>
  </si>
  <si>
    <t xml:space="preserve">Additions (MW). Flags: counted = 1 if we assume the ministry already netted the project in its shortfall; include = policy in which the project is in (1 Current, 2 Draft, 3 Corrected: a project is in if policy index ≥ include); firm = capacity credit.</t>
  </si>
  <si>
    <t xml:space="preserve">Project</t>
  </si>
  <si>
    <t xml:space="preserve">COD</t>
  </si>
  <si>
    <t xml:space="preserve">Counted</t>
  </si>
  <si>
    <t xml:space="preserve">Include ≥</t>
  </si>
  <si>
    <t xml:space="preserve">Firm</t>
  </si>
  <si>
    <t xml:space="preserve">Type</t>
  </si>
  <si>
    <t xml:space="preserve">Hiep Phuoc 1 LNG (private; PPA 26 Mar 2026; under construction)</t>
  </si>
  <si>
    <t xml:space="preserve">LNG</t>
  </si>
  <si>
    <t xml:space="preserve">VCCI 31 Mar 2026; Hogan Lovells 14 May 2026; The Star 7 Oct 2026 (COD 2028 vs 2027 conflict)</t>
  </si>
  <si>
    <t xml:space="preserve">Quang Trach II LNG (EVN; groundbreaking 20 Oct 2026)</t>
  </si>
  <si>
    <t xml:space="preserve">EVN press releases 6 and 20 Oct 2026; COD year is our assumption</t>
  </si>
  <si>
    <t xml:space="preserve">Quang Ninh 1 LNG (named for the 75% draft; no PPA)</t>
  </si>
  <si>
    <t xml:space="preserve">The Leader 22 Jun 2026; COD 2030 is our assumption if financed</t>
  </si>
  <si>
    <t xml:space="preserve">O Mon I (domestic gas, Block B)</t>
  </si>
  <si>
    <t xml:space="preserve">Gas</t>
  </si>
  <si>
    <t xml:space="preserve">SGGP 31 Dec 2025</t>
  </si>
  <si>
    <t xml:space="preserve">O Mon IV</t>
  </si>
  <si>
    <t xml:space="preserve">O Mon II</t>
  </si>
  <si>
    <t xml:space="preserve">O Mon III</t>
  </si>
  <si>
    <t xml:space="preserve">SGGP 31 Dec 2025 (O Mon totals conflict: 3,810 vs 3,915)</t>
  </si>
  <si>
    <t xml:space="preserve">Laos imports, tranche 1 (proposal)</t>
  </si>
  <si>
    <t xml:space="preserve">Import</t>
  </si>
  <si>
    <t xml:space="preserve">MOIT via Tiền Phong 15 Sep 2026</t>
  </si>
  <si>
    <t xml:space="preserve">Laos imports, tranche 2 (proposal)</t>
  </si>
  <si>
    <t xml:space="preserve">China imports via Mong Cai (Q2 2027)</t>
  </si>
  <si>
    <t xml:space="preserve">EVN 6 Oct 2026; MOIT via Tiền Phong (~600 MW)</t>
  </si>
  <si>
    <t xml:space="preserve">Storage, ministry's 2027 proposal (2 h)</t>
  </si>
  <si>
    <t xml:space="preserve">Storage</t>
  </si>
  <si>
    <t xml:space="preserve">MOIT via Tiền Phong 15 Sep 2026; in the Corrected path only by default</t>
  </si>
  <si>
    <t xml:space="preserve">Coal with CCS proposal (off by default: Include = 9)</t>
  </si>
  <si>
    <t xml:space="preserve">Coal</t>
  </si>
  <si>
    <t xml:space="preserve">EnergyConnects/Bloomberg 6 Oct 2026</t>
  </si>
  <si>
    <t xml:space="preserve">Residual gap by policy (MW and TWh). Additions not counted by the ministry are netted, with their firm credit, from the ministry's shortfall. The energy shortfall is scaled by the residual share (crude but transparent).</t>
  </si>
  <si>
    <t xml:space="preserve">Policy 1: Current</t>
  </si>
  <si>
    <t xml:space="preserve">Firm additions online, not counted by the ministry (MW, cumulative)</t>
  </si>
  <si>
    <t xml:space="preserve">   of which LNG under a capacity payment (MW)</t>
  </si>
  <si>
    <t xml:space="preserve">   of which storage (MW)</t>
  </si>
  <si>
    <t xml:space="preserve">Residual capacity gap (MW)</t>
  </si>
  <si>
    <t xml:space="preserve">Residual energy shortfall (TWh)</t>
  </si>
  <si>
    <t xml:space="preserve">Indicative cost at the 2023 outage value (US$ bn; upper bound — a chronic shortfall is rationed by plan and price, so this overstates)</t>
  </si>
  <si>
    <t xml:space="preserve">Capacity payments: LNG tranche (US$ bn/yr)</t>
  </si>
  <si>
    <t xml:space="preserve">Capacity payments: storage (US$ bn/yr, midpoint of E4–E5)</t>
  </si>
  <si>
    <t xml:space="preserve">Capacity payments as share of the retail tariff (on 2025 sales)</t>
  </si>
  <si>
    <t xml:space="preserve">Firm additions online, all (MW, cumulative; for chart C3)</t>
  </si>
  <si>
    <t xml:space="preserve">Policy 2: Draft (75%/15)</t>
  </si>
  <si>
    <t xml:space="preserve">Policy 3: Corrected</t>
  </si>
  <si>
    <t xml:space="preserve">Reading: no LNG plant can run before 2028, so 2027 is a storage-and-imports year whatever the contract rule. The Current and Draft rows differ only by Quang Ninh 1 in 2030; the Corrected row adds the 2027 storage tranche and pays capacity on the 4.2 GW LNG tranche. The ministry's shortfall already assumes its own base case; which projects it netted is not published (orange flags).</t>
  </si>
  <si>
    <t xml:space="preserve">What a megawatt-hour costs at the margin (chart C2). Fuel only unless stated. Model output, not a forecast.</t>
  </si>
  <si>
    <t xml:space="preserve">Rung</t>
  </si>
  <si>
    <t xml:space="preserve">Basis</t>
  </si>
  <si>
    <t xml:space="preserve">Index.vn</t>
  </si>
  <si>
    <t xml:space="preserve">Coal fuel at the 2025 Newcastle average</t>
  </si>
  <si>
    <t xml:space="preserve">Our calc: C21 ÷ (CV × efficiency)</t>
  </si>
  <si>
    <t xml:space="preserve">Coal fuel at October 2026 Newcastle</t>
  </si>
  <si>
    <t xml:space="preserve">Our calc</t>
  </si>
  <si>
    <t xml:space="preserve">EVN unit cost, 2025</t>
  </si>
  <si>
    <t xml:space="preserve">CafeF</t>
  </si>
  <si>
    <t xml:space="preserve">Average retail price from 1 Nov 2026</t>
  </si>
  <si>
    <t xml:space="preserve">Decision 2892</t>
  </si>
  <si>
    <t xml:space="preserve">Prime Minister's ceiling for the average retail price</t>
  </si>
  <si>
    <t xml:space="preserve">Decision 07/2025</t>
  </si>
  <si>
    <t xml:space="preserve">CCGT ceiling, 2024</t>
  </si>
  <si>
    <t xml:space="preserve">MOIT 2024 framework</t>
  </si>
  <si>
    <t xml:space="preserve">Nhon Trach 3&amp;4 reported price — low</t>
  </si>
  <si>
    <t xml:space="preserve">The Leader (conflicting)</t>
  </si>
  <si>
    <t xml:space="preserve">CCGT ceiling, 2026 (gas US$11.98 + 1.87)</t>
  </si>
  <si>
    <t xml:space="preserve">Decision 1882</t>
  </si>
  <si>
    <t xml:space="preserve">Nhon Trach 3&amp;4 reported price — high</t>
  </si>
  <si>
    <t xml:space="preserve">Vietnam News (broker; conflicting)</t>
  </si>
  <si>
    <t xml:space="preserve">LNG fuel at US$10 DES + adder</t>
  </si>
  <si>
    <t xml:space="preserve">Our calc: heat rate × delivered price</t>
  </si>
  <si>
    <t xml:space="preserve">LNG fuel at US$15 DES + adder</t>
  </si>
  <si>
    <t xml:space="preserve">LNG fuel at the Sep-27 JKM strip + adder</t>
  </si>
  <si>
    <t xml:space="preserve">Our calc; CME 6 Nov 2026</t>
  </si>
  <si>
    <t xml:space="preserve">LNG fuel at US$25 DES + adder</t>
  </si>
  <si>
    <t xml:space="preserve">Reported LNG plant price spike, 2026</t>
  </si>
  <si>
    <t xml:space="preserve">The Leader; Hogan Lovells</t>
  </si>
  <si>
    <t xml:space="preserve">LNG fuel at the Dec-26 JKM settlement + adder</t>
  </si>
  <si>
    <t xml:space="preserve">LNG all-in at the scenario price (fuel + non-fuel element of the 2026 ceiling)</t>
  </si>
  <si>
    <t xml:space="preserve">Non-fuel element of the 2026 ceiling</t>
  </si>
  <si>
    <t xml:space="preserve">Our calc: C5 less fuel at C2–C4</t>
  </si>
  <si>
    <t xml:space="preserve">Non-fuel share of the 2026 ceiling at US$11.98 gas</t>
  </si>
  <si>
    <t xml:space="preserve">Our calc (compare the investors' 20%, Inputs D13)</t>
  </si>
  <si>
    <t xml:space="preserve">Gaps (US$/MWh)</t>
  </si>
  <si>
    <t xml:space="preserve">LNG at US$10 less coal at the 2025 average (structural gap)</t>
  </si>
  <si>
    <t xml:space="preserve">LNG at the Sep-27 strip less coal at Oct-2026 (shock gap, low)</t>
  </si>
  <si>
    <t xml:space="preserve">LNG at the Dec-26 settlement less coal at Oct-2026 (shock gap, high)</t>
  </si>
  <si>
    <t xml:space="preserve">LNG fuel at the Dec-26 settlement as a multiple of the 2026 ceiling</t>
  </si>
  <si>
    <t xml:space="preserve">Reading: above about US$10 gas, every LNG megawatt-hour costs more than the average customer pays and more than EVN's unit cost; the guaranteed volume is bought out of merit by construction. Model output, not a forecast.</t>
  </si>
  <si>
    <t xml:space="preserve">One 1 GW LNG plant for one year under three contract structures, at the scenario LNG price. Who pays what, and whether the plant covers its fixed cost. Model output, not a forecast.</t>
  </si>
  <si>
    <t xml:space="preserve">Line</t>
  </si>
  <si>
    <t xml:space="preserve">Qc 65% / 10 yrs (current)</t>
  </si>
  <si>
    <t xml:space="preserve">Qc 75% / 15 yrs (draft)</t>
  </si>
  <si>
    <t xml:space="preserve">Two-part: capacity + fuel recovery</t>
  </si>
  <si>
    <t xml:space="preserve">Plant size (MW)</t>
  </si>
  <si>
    <t xml:space="preserve">Average multi-year output in the PPA (GWh) = MW × 8.76 × planned load factor</t>
  </si>
  <si>
    <t xml:space="preserve">Basis is an assumption (Inputs D5)</t>
  </si>
  <si>
    <t xml:space="preserve">Qc share</t>
  </si>
  <si>
    <t xml:space="preserve">Two-part has no volume guarantee; dispatch by merit</t>
  </si>
  <si>
    <t xml:space="preserve">Qc (GWh)</t>
  </si>
  <si>
    <t xml:space="preserve">Actual dispatch (GWh) = MW × 8.76 × actual capacity factor</t>
  </si>
  <si>
    <t xml:space="preserve">Inputs D7; NT3&amp;4-implied 38%</t>
  </si>
  <si>
    <t xml:space="preserve">Contract price (US$/MWh) = LNG fuel + non-fuel element</t>
  </si>
  <si>
    <t xml:space="preserve">Energy price only; the two-part column uses fuel pass-through plus a capacity payment</t>
  </si>
  <si>
    <t xml:space="preserve">Market price (US$/MWh), 2025 average</t>
  </si>
  <si>
    <t xml:space="preserve">Contracted fuel at the Qc level (m MMBtu) = Qc × heat rate × take-or-pay share</t>
  </si>
  <si>
    <t xml:space="preserve">Two-part: fuel contracted to the agreed dispatch level (= actual here, so no stranded fuel)</t>
  </si>
  <si>
    <t xml:space="preserve">Fuel burned (m MMBtu) = actual × heat rate</t>
  </si>
  <si>
    <t xml:space="preserve">Unburned take-or-pay fuel (m MMBtu)</t>
  </si>
  <si>
    <t xml:space="preserve">EVN pays: energy on actual dispatch (US$ m)</t>
  </si>
  <si>
    <t xml:space="preserve">Two-part: fuel pass-through only on energy</t>
  </si>
  <si>
    <t xml:space="preserve">EVN pays: settlement on undispatched Qc (contract − market) (US$ m)</t>
  </si>
  <si>
    <t xml:space="preserve">Qc is a financial commitment, not a dispatch guarantee (MOIT via Hogan Lovells)</t>
  </si>
  <si>
    <t xml:space="preserve">EVN pays: capacity payment (US$ m)</t>
  </si>
  <si>
    <t xml:space="preserve">Scenario fixed cost (Low/High)</t>
  </si>
  <si>
    <t xml:space="preserve">EVN pays: fuel take-or-pay recovery (US$ m)</t>
  </si>
  <si>
    <t xml:space="preserve">Zero here because contracted fuel = burned; rises if dispatch falls below the agreed level</t>
  </si>
  <si>
    <t xml:space="preserve">EVN total (US$ m)</t>
  </si>
  <si>
    <t xml:space="preserve">EVN cost of the same energy at the market price (US$ m)</t>
  </si>
  <si>
    <t xml:space="preserve">EVN premium over market (US$ m)</t>
  </si>
  <si>
    <t xml:space="preserve">What the structure costs the buyer above the merit-order alternative</t>
  </si>
  <si>
    <t xml:space="preserve">Generator: revenue (US$ m)</t>
  </si>
  <si>
    <t xml:space="preserve">Generator: fuel burned (US$ m)</t>
  </si>
  <si>
    <t xml:space="preserve">Generator: unburned take-or-pay fuel (US$ m)</t>
  </si>
  <si>
    <t xml:space="preserve">Generator: fixed cost (US$ m) at the scenario case</t>
  </si>
  <si>
    <t xml:space="preserve">Generator: margin after fixed cost (US$ m)</t>
  </si>
  <si>
    <t xml:space="preserve">Two-part is zero by construction: the capacity payment is set at fixed cost</t>
  </si>
  <si>
    <t xml:space="preserve">Generator: fixed-cost cover = (revenue − fuel − take-or-pay) ÷ fixed cost</t>
  </si>
  <si>
    <t xml:space="preserve">Below 1.0 the plant does not service its fixed cost in that year</t>
  </si>
  <si>
    <t xml:space="preserve">Years of cover</t>
  </si>
  <si>
    <t xml:space="preserve">Two-part term is our assumption (financing tenor)</t>
  </si>
  <si>
    <t xml:space="preserve">Contracted fuel as a multiple of fuel burned</t>
  </si>
  <si>
    <t xml:space="preserve">Above 1.0 the plant contracts more fuel than the grid lets it burn; the surplus is the stranded take-or-pay in row 14</t>
  </si>
  <si>
    <t xml:space="preserve">Reading: at a 38% dispatch factor the current rule pays the plant for 65% of its planned output and still leaves part of its fuel take-or-pay stranded (row 14); raising Qc to 75% moves more money without changing what the grid burns. The two-part column pays fixed cost openly, pays fuel only when burned or stranded, and dispatches by merit. The comparison that matters is the buyer's premium (row 21) against the firm capacity it buys (Balance). Model output, not a forecast.</t>
  </si>
  <si>
    <t xml:space="preserve">The numbers used in the post, each traceable to Inputs. Model output, not a forecast.</t>
  </si>
  <si>
    <t xml:space="preserve">Capacity bill as a share of the retail tariff (chart C4): GW × fixed cost ÷ 2025 sales ÷ retail price</t>
  </si>
  <si>
    <t xml:space="preserve">Tranche</t>
  </si>
  <si>
    <t xml:space="preserve">GW</t>
  </si>
  <si>
    <t xml:space="preserve">Low (US$ bn)</t>
  </si>
  <si>
    <t xml:space="preserve">High (US$ bn)</t>
  </si>
  <si>
    <t xml:space="preserve">Low % of tariff</t>
  </si>
  <si>
    <t xml:space="preserve">High % of tariff</t>
  </si>
  <si>
    <t xml:space="preserve">Low % on 2030 PDP8 demand</t>
  </si>
  <si>
    <t xml:space="preserve">High % on 2030 PDP8 demand</t>
  </si>
  <si>
    <t xml:space="preserve">Capped tranche (Hiep Phuoc 1 + Quang Ninh 1 + Quang Trach II)</t>
  </si>
  <si>
    <t xml:space="preserve">Ministry's ~6,000 MW costing basis</t>
  </si>
  <si>
    <t xml:space="preserve">Full 2030 LNG plan</t>
  </si>
  <si>
    <t xml:space="preserve">Storage, ministry proposal (2,800 MW, 2 h)</t>
  </si>
  <si>
    <t xml:space="preserve">Thailand reference: availability payments as share of base tariff (IEEFA, advocacy)</t>
  </si>
  <si>
    <t xml:space="preserve">Other numbers used in the post</t>
  </si>
  <si>
    <t xml:space="preserve">Retail cut (VND/kWh)</t>
  </si>
  <si>
    <t xml:space="preserve">Cost of the cut over the reported window (VND tn)</t>
  </si>
  <si>
    <t xml:space="preserve">Cost of the cut over the reported window (US$ bn)</t>
  </si>
  <si>
    <t xml:space="preserve">Retail price above EVN's 2025 unit cost</t>
  </si>
  <si>
    <t xml:space="preserve">NT3&amp;4 premium over the 2025 market average — low report (US$/MWh)</t>
  </si>
  <si>
    <t xml:space="preserve">NT3&amp;4 premium — high report (US$/MWh)</t>
  </si>
  <si>
    <t xml:space="preserve">NT3&amp;4 premium on the 2026 forecast — low (VND tn/yr)</t>
  </si>
  <si>
    <t xml:space="preserve">NT3&amp;4 premium on the 2026 forecast — high (VND tn/yr)</t>
  </si>
  <si>
    <t xml:space="preserve">NT3&amp;4 premium as share of the retail tariff on 2025 sales — low</t>
  </si>
  <si>
    <t xml:space="preserve">NT3&amp;4 premium as share of the retail tariff — high</t>
  </si>
  <si>
    <t xml:space="preserve">Hours of full-load shortage avoided per year for 1 GW to pay for itself — low fixed cost</t>
  </si>
  <si>
    <t xml:space="preserve">Hours — high fixed cost</t>
  </si>
  <si>
    <t xml:space="preserve">Hours — two-hour storage, low price</t>
  </si>
  <si>
    <t xml:space="preserve">Hours — two-hour storage, high price</t>
  </si>
  <si>
    <t xml:space="preserve">GW of LNG capacity the tariff-cut money would pay for a year — low / high fixed cost</t>
  </si>
  <si>
    <t xml:space="preserve">   high fixed cost</t>
  </si>
  <si>
    <t xml:space="preserve">GW of two-hour storage the tariff-cut money would pay for a year — low / high price</t>
  </si>
  <si>
    <t xml:space="preserve">   low price</t>
  </si>
  <si>
    <t xml:space="preserve">Headroom to the Prime Minister's ceiling (VND tn/yr on 2025 sales)</t>
  </si>
  <si>
    <t xml:space="preserve">Headroom (US$ bn)</t>
  </si>
  <si>
    <t xml:space="preserve">TWh of LNG power at the 2026 ceiling that headroom absorbs (static)</t>
  </si>
  <si>
    <t xml:space="preserve">TWh absorbable at the Dec-26 JKM all-in cost (static)</t>
  </si>
  <si>
    <t xml:space="preserve">Ministry's '+73%': 75 × 15 ÷ (65 × 10)</t>
  </si>
  <si>
    <t xml:space="preserve">Coal imports share of coal supply, 2024 (energy)</t>
  </si>
  <si>
    <t xml:space="preserve">Coal imports 2024 ÷ 2018</t>
  </si>
  <si>
    <t xml:space="preserve">Coal production 2024 ÷ 2018 − 1</t>
  </si>
  <si>
    <t xml:space="preserve">2027 energy shortfall as share of 2027 demand</t>
  </si>
  <si>
    <t xml:space="preserve">Fixed cost — high case, derived (US$/kW-yr)</t>
  </si>
  <si>
    <t xml:space="preserve">Non-fuel share of an all-in LNG price at the Dec-26 JKM</t>
  </si>
  <si>
    <t xml:space="preserve">Data behind charts C1–C5 in the post (the PNGs are built from these cells)</t>
  </si>
  <si>
    <t xml:space="preserve">C1 — Target vs reality: Vietnam's LNG fleet (MW, one bar = the 2030 target)</t>
  </si>
  <si>
    <t xml:space="preserve">Operating: Nhon Trach 3&amp;4 (PVN, since 1 Jan 2026)</t>
  </si>
  <si>
    <t xml:space="preserve">Under construction: Hiep Phuoc 1 (private) + Quang Trach II (EVN)</t>
  </si>
  <si>
    <t xml:space="preserve">Named for the 75% draft, no PPA: Quang Ninh 1</t>
  </si>
  <si>
    <t xml:space="preserve">Rest of the 2030 target</t>
  </si>
  <si>
    <t xml:space="preserve">Share of the target operating</t>
  </si>
  <si>
    <t xml:space="preserve">Share operating + building</t>
  </si>
  <si>
    <t xml:space="preserve">C2 — What a megawatt-hour costs at the margin: see Stack!B5:D23 (US$/MWh and VND/kWh)</t>
  </si>
  <si>
    <t xml:space="preserve">C3 — The shortfall arrives before the plants do (MW)</t>
  </si>
  <si>
    <t xml:space="preserve">Ministry shortfall, national</t>
  </si>
  <si>
    <t xml:space="preserve">Ministry shortfall, North</t>
  </si>
  <si>
    <t xml:space="preserve">Firm additions online, cumulative, Current policy (nameplate × firm credit)</t>
  </si>
  <si>
    <t xml:space="preserve">Firm additions online, cumulative, Corrected policy</t>
  </si>
  <si>
    <t xml:space="preserve">   of which not counted by the ministry (Corrected)</t>
  </si>
  <si>
    <t xml:space="preserve">C4 — How big a capacity bill Vietnam can carry: see Outputs capacity-bill table</t>
  </si>
  <si>
    <t xml:space="preserve">C5 — Coal is the swing fuel, not a trend (generation shares, %)</t>
  </si>
  <si>
    <t xml:space="preserve">Hydro</t>
  </si>
  <si>
    <t xml:space="preserve">Renewables</t>
  </si>
  <si>
    <t xml:space="preserve">Imports</t>
  </si>
  <si>
    <t xml:space="preserve">Other/oil</t>
  </si>
  <si>
    <t xml:space="preserve">2025 (BNEF via The Star, 7 Oct 2026; gas and imports not published, residual)</t>
  </si>
  <si>
    <t xml:space="preserve">Jan–Apr 2025 (The Shiv / EVN)</t>
  </si>
  <si>
    <t xml:space="preserve">H1 2026 (EVN H1 report)</t>
  </si>
  <si>
    <t xml:space="preserve">9M 2026 (EVN, 6 Oct 2026)</t>
  </si>
  <si>
    <t xml:space="preserve">Ember annual 2020–24 for Viet Nam still to pull (the CSVs in the research folder are the World series).</t>
  </si>
  <si>
    <t xml:space="preserve">Calibration and sanity checks</t>
  </si>
  <si>
    <t xml:space="preserve">Check</t>
  </si>
  <si>
    <t xml:space="preserve">Model</t>
  </si>
  <si>
    <t xml:space="preserve">Reference</t>
  </si>
  <si>
    <t xml:space="preserve">Comment</t>
  </si>
  <si>
    <t xml:space="preserve">C1  Fuel at the ceiling's own parameters (gas 11.98 + 1.87, 6,542.96 Btu/kWh, FX 26,378) in VND/kWh vs the ceiling</t>
  </si>
  <si>
    <t xml:space="preserve">Fuel is ~70% of the ceiling; the remainder (~VND 1,020) is capital, O&amp;M and return. Consistent with a ~30% non-fuel share, above the investors' 20%</t>
  </si>
  <si>
    <t xml:space="preserve">C2  Retail cut: 1 − C9/C10</t>
  </si>
  <si>
    <t xml:space="preserve">EVN announced 2%</t>
  </si>
  <si>
    <t xml:space="preserve">C3  2027 energy shortfall (TWh) vs 2027 capacity shortfall × 680 h</t>
  </si>
  <si>
    <t xml:space="preserve">Implied ~680 full-load hours: a peak problem, not an energy problem. 2030: 61.18 TWh on 13,964 MW ≈ 4,400 h — an energy problem</t>
  </si>
  <si>
    <t xml:space="preserve">C4  Coal imports share of supply, 2024 (IEA)</t>
  </si>
  <si>
    <t xml:space="preserve">Imports exceed half of coal supply by energy</t>
  </si>
  <si>
    <t xml:space="preserve">C5  Non-fuel element: 2024 ceiling (D9 basis) vs 2026 ceiling (D10), US$/kW-yr</t>
  </si>
  <si>
    <t xml:space="preserve">Both routes land at US$175–290; the 2026 route includes variable O&amp;M and a higher gas price in the fuel strip</t>
  </si>
  <si>
    <t xml:space="preserve">C6  LNG need at NT3&amp;4's 2026 forecast (Mt) vs Shell 0.4 Mt + spot</t>
  </si>
  <si>
    <t xml:space="preserve">5.4 TWh needs ~0.7 Mt: the term contract covers about half; H1 2026 imports were ~354 kt (The Investor, 12 Jun 2026)</t>
  </si>
  <si>
    <t xml:space="preserve">C7  Balance 2026 generation vs EVN 9M run-rate × 12/9</t>
  </si>
  <si>
    <t xml:space="preserve">Q4 is seasonally higher (NSMO Q4 plan 88.97 TWh), so the run-rate understates slightly</t>
  </si>
  <si>
    <t xml:space="preserve">C8  Ministry's '+73%' reproduced from 75 × 15 ÷ (65 × 10)</t>
  </si>
  <si>
    <t xml:space="preserve">Source log (public documents only)</t>
  </si>
  <si>
    <t xml:space="preserve">Short name</t>
  </si>
  <si>
    <t xml:space="preserve">Document</t>
  </si>
  <si>
    <t xml:space="preserve">Decree 56/2025</t>
  </si>
  <si>
    <t xml:space="preserve">Government of Vietnam, Decree 56/2025/NĐ-CP detailing the Electricity Law (3 Mar 2025), Art. 15</t>
  </si>
  <si>
    <t xml:space="preserve">primary</t>
  </si>
  <si>
    <t xml:space="preserve">Decree 100/2025</t>
  </si>
  <si>
    <t xml:space="preserve">Government of Vietnam, Decree 100/2025/NĐ-CP amending Art. 15 of Decree 56/2025 (8 May 2025): Qc ≥65% of multi-year average output, ≤10 years, COD before 1 Jan 2031</t>
  </si>
  <si>
    <t xml:space="preserve">MOIT Decision 1882/QĐ-BCT approving the 2026 generation price framework for natural-gas CCGTs (23 Jul 2026)</t>
  </si>
  <si>
    <t xml:space="preserve">MOIT Decision 2892/QĐ-BCT on electricity selling prices (31 Oct 2026); EVN Decision 1305/QĐ-EVN (30 Oct 2026)</t>
  </si>
  <si>
    <t xml:space="preserve">Decision 768</t>
  </si>
  <si>
    <t xml:space="preserve">Prime Minister's Decision 768/QĐ-TTg approving the revised PDP8 (15 Apr 2025), Annex III Table 1 (LNG projects)</t>
  </si>
  <si>
    <t xml:space="preserve">primary (scanned)</t>
  </si>
  <si>
    <t xml:space="preserve">Dispatch 10790</t>
  </si>
  <si>
    <t xml:space="preserve">Government Office Official Dispatch 10790/VPCP-CN (22 Oct 2026) via Vietnam Energy Review (26 Oct) and VnEconomy (23 Oct)</t>
  </si>
  <si>
    <t xml:space="preserve">press of primary</t>
  </si>
  <si>
    <t xml:space="preserve">MOIT 20 Oct 2026</t>
  </si>
  <si>
    <t xml:space="preserve">MOIT portal: Minister Lê Mạnh Hùng clarifies major issues in the draft Electricity Law amendment (capacity price; 21 LNG projects ~36,000 MW)</t>
  </si>
  <si>
    <t xml:space="preserve">primary (portal)</t>
  </si>
  <si>
    <t xml:space="preserve">EVN releases</t>
  </si>
  <si>
    <t xml:space="preserve">EVN press releases: H1 2026 operations (Jul 2026); September 2026 operations (6 Oct 2026); Quang Trach II groundbreaking (20 Oct 2026); EVNHANOI BESS (6 Jul 2026)</t>
  </si>
  <si>
    <t xml:space="preserve">MOIT shortfall</t>
  </si>
  <si>
    <t xml:space="preserve">MOIT urgent report to the PM (Sep 2026) via Tiền Phong (15 Sep 2026) and Báo Đấu thầu (18 Sep 2026)</t>
  </si>
  <si>
    <t xml:space="preserve">Hogan Lovells</t>
  </si>
  <si>
    <t xml:space="preserve">Hogan Lovells Cadwalader, 'Vietnam considers strengthening offtake guarantees for LNG-to-power projects', via Lexology (14 May 2026)</t>
  </si>
  <si>
    <t xml:space="preserve">law-firm summary</t>
  </si>
  <si>
    <t xml:space="preserve">A&amp;O Shearman</t>
  </si>
  <si>
    <t xml:space="preserve">A&amp;O Shearman, 'Vietnam: impact on LNG-to-power projects of the new Electricity Law guiding Decree 56' (18 Mar 2025)</t>
  </si>
  <si>
    <t xml:space="preserve">The Leader</t>
  </si>
  <si>
    <t xml:space="preserve">The Leader, 22 Jun 2026 (over-contracting; VND 1.1 quadrillion; NT3&amp;4 ~2,850; ~5,000 spike)</t>
  </si>
  <si>
    <t xml:space="preserve">Vietnam News / VIR / VnExpress / Tuoi Tre</t>
  </si>
  <si>
    <t xml:space="preserve">75%/15-year proposals (Nov 2025, Jan 2026); EVN 2024 report of 72–90% asks; broker estimate of NT3&amp;4 price (27 Aug 2026)</t>
  </si>
  <si>
    <t xml:space="preserve">2025–26</t>
  </si>
  <si>
    <t xml:space="preserve">Vietcap via The Investor</t>
  </si>
  <si>
    <t xml:space="preserve">NT3&amp;4 2026 generation forecast 5.4 TWh; Jan–Apr = 28% (8 Jun 2026)</t>
  </si>
  <si>
    <t xml:space="preserve">broker</t>
  </si>
  <si>
    <t xml:space="preserve">PV Power Q3 2026</t>
  </si>
  <si>
    <t xml:space="preserve">PetroVietnam Power Corporation, explanation of Q3 2026 results (30 Oct 2026): parent sales +VND 8,105bn y/y; no plant breakdown</t>
  </si>
  <si>
    <t xml:space="preserve">IEA coal</t>
  </si>
  <si>
    <t xml:space="preserve">IEA, Viet Nam coal production, supply, imports and exports (TJ), 2000–2024</t>
  </si>
  <si>
    <t xml:space="preserve">Pink Sheet</t>
  </si>
  <si>
    <t xml:space="preserve">World Bank Commodity Price Data, 3 Nov 2026</t>
  </si>
  <si>
    <t xml:space="preserve">Nov 2026</t>
  </si>
  <si>
    <t xml:space="preserve">CME JKM</t>
  </si>
  <si>
    <t xml:space="preserve">CME Group, LNG Japan/Korea Marker (Platts) futures settlements, trade date 6 Nov 2026 (public page)</t>
  </si>
  <si>
    <t xml:space="preserve">primary (public)</t>
  </si>
  <si>
    <t xml:space="preserve">World Bank 2023</t>
  </si>
  <si>
    <t xml:space="preserve">World Bank Taking Stock (Aug 2023) via AFP/BSS (11 Aug 2023); ~900 GWh via VnExpress (10 Aug 2023)</t>
  </si>
  <si>
    <t xml:space="preserve">World Bank 2019</t>
  </si>
  <si>
    <t xml:space="preserve">World Bank Group technical assistance on LNG-to-power in Vietnam (2019)</t>
  </si>
  <si>
    <t xml:space="preserve">2019</t>
  </si>
  <si>
    <t xml:space="preserve">AZEC petition</t>
  </si>
  <si>
    <t xml:space="preserve">Investor petition (8 Dec 2025) via Vietnam Energy Review (18 Dec 2025)</t>
  </si>
  <si>
    <t xml:space="preserve">IEEFA</t>
  </si>
  <si>
    <t xml:space="preserve">IEEFA on Thailand's availability payments and idle gas fleet</t>
  </si>
  <si>
    <t xml:space="preserve">ESS News</t>
  </si>
  <si>
    <t xml:space="preserve">ESS News, 12 Feb 2026: Indian two-hour BESS tenders US$2,000–2,500/MW-month</t>
  </si>
  <si>
    <t xml:space="preserve">Circular 62</t>
  </si>
  <si>
    <t xml:space="preserve">MOIT Circular 62/2025/TT-BCT on BESS pricing (effective 26 Jan 2026) via Vietnam Briefing and Norton Rose Fulbright</t>
  </si>
  <si>
    <t xml:space="preserve">SGGP</t>
  </si>
  <si>
    <t xml:space="preserve">SGGP, 31 Dec 2025: Block B first gas Aug 2027, 5.06 bcm/yr, O Mon plant schedule</t>
  </si>
  <si>
    <t xml:space="preserve">Policy commission</t>
  </si>
  <si>
    <t xml:space="preserve">Party Central Committee policy commission workshop (5 Nov 2026) via Vietnam News and VietnamNet</t>
  </si>
  <si>
    <t xml:space="preserve">Extras (working not needed to follow the post). Part 1: domestic gas, Block B and the LNG need (bcm, TWh, Mt). Part 2, below: the nine-case grid. Model output, not a forecast.</t>
  </si>
  <si>
    <t xml:space="preserve">Existing fields (bcm)</t>
  </si>
  <si>
    <t xml:space="preserve">Block B (bcm)</t>
  </si>
  <si>
    <t xml:space="preserve">Total domestic gas (bcm)</t>
  </si>
  <si>
    <t xml:space="preserve">Gas to power (bcm)</t>
  </si>
  <si>
    <t xml:space="preserve">Domestic-gas generation possible (TWh)</t>
  </si>
  <si>
    <t xml:space="preserve">LNG-fired generation under the selected policy (TWh)</t>
  </si>
  <si>
    <t xml:space="preserve">LNG required (Mt)</t>
  </si>
  <si>
    <t xml:space="preserve">Thi Vai capacity (Mt, 1 → 3 from 2028, assumption)</t>
  </si>
  <si>
    <t xml:space="preserve">Term LNG contracted (Shell, Mt)</t>
  </si>
  <si>
    <t xml:space="preserve">Reading: existing fields lose about half their output by 2030 on the 2025 decline rate; Block B replaces most of it from 2028. The LNG need at the modelled dispatch factor is ~0.7 Mt in 2026–27, ~1.2 Mt in 2028–29 with Hiep Phuoc 1 and ~1.8 Mt in 2030 with Quang Trach II — below BNEF's 3 Mt, because the model dispatches LNG plants at ~38%, not 85%. Change D7 on Inputs to see the fuel-bill consequence of a higher Qc basis.</t>
  </si>
  <si>
    <t xml:space="preserve">Nine-case grid: 3 policies × 3 LNG prices (fixed cost and coal at the Start here selectors). Model output, not a forecast.</t>
  </si>
  <si>
    <t xml:space="preserve">LNG $</t>
  </si>
  <si>
    <t xml:space="preserve">Residual shortfall 2027–30 (TWh)</t>
  </si>
  <si>
    <t xml:space="preserve">Indicative cost of unserved 2027–30 at the 2023 value (US$ bn, upper bound)</t>
  </si>
  <si>
    <t xml:space="preserve">Capacity payments 2030 (US$ bn/yr)</t>
  </si>
  <si>
    <t xml:space="preserve">Capacity payments 2030 (% of tariff)</t>
  </si>
  <si>
    <t xml:space="preserve">LNG need 2030 (Mt)</t>
  </si>
  <si>
    <t xml:space="preserve">LNG fuel bill 2030 (US$ bn)</t>
  </si>
  <si>
    <t xml:space="preserve">Firm MW online 2030 (not counted)</t>
  </si>
  <si>
    <t xml:space="preserve">Buyer premium, 1 GW plant (US$ m/yr)</t>
  </si>
  <si>
    <t xml:space="preserve">Generator fixed-cost cover</t>
  </si>
  <si>
    <t xml:space="preserve">Draft</t>
  </si>
  <si>
    <t xml:space="preserve">Corrected</t>
  </si>
  <si>
    <t xml:space="preserve">Reading: the LNG price moves the fuel bill and the buyer's premium, not the shortfall; the policy moves the shortfall through the additions it brings. The Corrected row's capacity payments buy the firm MW in column J; the Current row's lower bill buys the shortfall in column D.</t>
  </si>
</sst>
</file>

<file path=xl/styles.xml><?xml version="1.0" encoding="utf-8"?>
<styleSheet xmlns="http://schemas.openxmlformats.org/spreadsheetml/2006/main">
  <numFmts count="12">
    <numFmt numFmtId="164" formatCode="General"/>
    <numFmt numFmtId="165" formatCode="#,##0.00"/>
    <numFmt numFmtId="166" formatCode="0%"/>
    <numFmt numFmtId="167" formatCode="0"/>
    <numFmt numFmtId="168" formatCode="#,##0"/>
    <numFmt numFmtId="169" formatCode="0.0%"/>
    <numFmt numFmtId="170" formatCode="0.00"/>
    <numFmt numFmtId="171" formatCode="#,##0.0"/>
    <numFmt numFmtId="172" formatCode="0.000"/>
    <numFmt numFmtId="173" formatCode="0.0"/>
    <numFmt numFmtId="174" formatCode="#,##0.000"/>
    <numFmt numFmtId="175" formatCode="0.00%"/>
  </numFmts>
  <fonts count="13">
    <font>
      <sz val="11"/>
      <color theme="1"/>
      <name val="Calibri"/>
      <family val="2"/>
      <charset val="1"/>
    </font>
    <font>
      <sz val="10"/>
      <name val="Arial"/>
      <family val="0"/>
    </font>
    <font>
      <sz val="10"/>
      <name val="Arial"/>
      <family val="0"/>
    </font>
    <font>
      <sz val="10"/>
      <name val="Arial"/>
      <family val="0"/>
    </font>
    <font>
      <b val="true"/>
      <sz val="11"/>
      <color rgb="FF121826"/>
      <name val="Arial"/>
      <family val="0"/>
      <charset val="1"/>
    </font>
    <font>
      <b val="true"/>
      <sz val="10"/>
      <name val="Arial"/>
      <family val="0"/>
      <charset val="1"/>
    </font>
    <font>
      <sz val="10"/>
      <color rgb="FF0000FF"/>
      <name val="Arial"/>
      <family val="0"/>
      <charset val="1"/>
    </font>
    <font>
      <sz val="9"/>
      <color rgb="FF555555"/>
      <name val="Arial"/>
      <family val="0"/>
      <charset val="1"/>
    </font>
    <font>
      <sz val="10"/>
      <color rgb="FF000000"/>
      <name val="Arial"/>
      <family val="0"/>
      <charset val="1"/>
    </font>
    <font>
      <i val="true"/>
      <sz val="9"/>
      <color rgb="FF555555"/>
      <name val="Arial"/>
      <family val="0"/>
      <charset val="1"/>
    </font>
    <font>
      <sz val="10"/>
      <color rgb="FF008000"/>
      <name val="Arial"/>
      <family val="0"/>
      <charset val="1"/>
    </font>
    <font>
      <b val="true"/>
      <sz val="14"/>
      <color rgb="FF121826"/>
      <name val="Arial"/>
      <family val="0"/>
      <charset val="1"/>
    </font>
    <font>
      <sz val="10"/>
      <color rgb="FFC55A11"/>
      <name val="Arial"/>
      <family val="0"/>
      <charset val="1"/>
    </font>
  </fonts>
  <fills count="4">
    <fill>
      <patternFill patternType="none"/>
    </fill>
    <fill>
      <patternFill patternType="gray125"/>
    </fill>
    <fill>
      <patternFill patternType="solid">
        <fgColor rgb="FFFFFF00"/>
        <bgColor rgb="FFFFFF00"/>
      </patternFill>
    </fill>
    <fill>
      <patternFill patternType="solid">
        <fgColor rgb="FFE5E8EF"/>
        <bgColor rgb="FFCCFFFF"/>
      </patternFill>
    </fill>
  </fills>
  <borders count="1">
    <border diagonalUp="false" diagonalDown="false">
      <left/>
      <right/>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4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5" fontId="8" fillId="0" borderId="0" xfId="0" applyFont="true" applyBorder="false" applyAlignment="false" applyProtection="false">
      <alignment horizontal="general" vertical="bottom"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5" fillId="3"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general" vertical="top" textRotation="0" wrapText="true" indent="0" shrinkToFit="false"/>
      <protection locked="true" hidden="false"/>
    </xf>
    <xf numFmtId="166" fontId="10" fillId="0" borderId="0" xfId="0" applyFont="true" applyBorder="false" applyAlignment="false" applyProtection="false">
      <alignment horizontal="general" vertical="bottom" textRotation="0" wrapText="false" indent="0" shrinkToFit="false"/>
      <protection locked="true" hidden="false"/>
    </xf>
    <xf numFmtId="167" fontId="10" fillId="0" borderId="0" xfId="0" applyFont="true" applyBorder="false" applyAlignment="false" applyProtection="false">
      <alignment horizontal="general" vertical="bottom" textRotation="0" wrapText="false" indent="0" shrinkToFit="false"/>
      <protection locked="true" hidden="false"/>
    </xf>
    <xf numFmtId="168" fontId="10" fillId="0" borderId="0" xfId="0" applyFont="true" applyBorder="false" applyAlignment="false" applyProtection="false">
      <alignment horizontal="general" vertical="bottom" textRotation="0" wrapText="false" indent="0" shrinkToFit="false"/>
      <protection locked="true" hidden="false"/>
    </xf>
    <xf numFmtId="169" fontId="10" fillId="0" borderId="0" xfId="0" applyFont="true" applyBorder="false" applyAlignment="false" applyProtection="false">
      <alignment horizontal="general" vertical="bottom" textRotation="0" wrapText="false" indent="0" shrinkToFit="false"/>
      <protection locked="true" hidden="false"/>
    </xf>
    <xf numFmtId="170" fontId="10" fillId="0" borderId="0" xfId="0" applyFont="true" applyBorder="false" applyAlignment="false" applyProtection="false">
      <alignment horizontal="general" vertical="bottom" textRotation="0" wrapText="false" indent="0" shrinkToFit="false"/>
      <protection locked="true" hidden="false"/>
    </xf>
    <xf numFmtId="171" fontId="10" fillId="0" borderId="0" xfId="0" applyFont="true" applyBorder="false" applyAlignment="false" applyProtection="false">
      <alignment horizontal="general" vertical="bottom" textRotation="0" wrapText="fals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6" fontId="6" fillId="0" borderId="0" xfId="0" applyFont="true" applyBorder="false" applyAlignment="false" applyProtection="false">
      <alignment horizontal="general" vertical="bottom" textRotation="0" wrapText="false" indent="0" shrinkToFit="false"/>
      <protection locked="true" hidden="false"/>
    </xf>
    <xf numFmtId="167" fontId="6" fillId="0" borderId="0" xfId="0" applyFont="true" applyBorder="false" applyAlignment="false" applyProtection="false">
      <alignment horizontal="general" vertical="bottom" textRotation="0" wrapText="false" indent="0" shrinkToFit="false"/>
      <protection locked="true" hidden="false"/>
    </xf>
    <xf numFmtId="166" fontId="12" fillId="0" borderId="0" xfId="0" applyFont="true" applyBorder="false" applyAlignment="false" applyProtection="false">
      <alignment horizontal="general" vertical="bottom" textRotation="0" wrapText="false" indent="0" shrinkToFit="false"/>
      <protection locked="true" hidden="false"/>
    </xf>
    <xf numFmtId="168" fontId="6" fillId="0" borderId="0" xfId="0" applyFont="true" applyBorder="false" applyAlignment="false" applyProtection="false">
      <alignment horizontal="general" vertical="bottom" textRotation="0" wrapText="false" indent="0" shrinkToFit="false"/>
      <protection locked="true" hidden="false"/>
    </xf>
    <xf numFmtId="168" fontId="8" fillId="0" borderId="0" xfId="0" applyFont="true" applyBorder="false" applyAlignment="false" applyProtection="false">
      <alignment horizontal="general" vertical="bottom" textRotation="0" wrapText="false" indent="0" shrinkToFit="false"/>
      <protection locked="true" hidden="false"/>
    </xf>
    <xf numFmtId="172" fontId="6" fillId="0" borderId="0" xfId="0" applyFont="true" applyBorder="false" applyAlignment="false" applyProtection="false">
      <alignment horizontal="general" vertical="bottom" textRotation="0" wrapText="false" indent="0" shrinkToFit="false"/>
      <protection locked="true" hidden="false"/>
    </xf>
    <xf numFmtId="173" fontId="6" fillId="0" borderId="0" xfId="0" applyFont="true" applyBorder="false" applyAlignment="false" applyProtection="false">
      <alignment horizontal="general" vertical="bottom" textRotation="0" wrapText="false" indent="0" shrinkToFit="false"/>
      <protection locked="true" hidden="false"/>
    </xf>
    <xf numFmtId="171" fontId="6" fillId="0" borderId="0" xfId="0" applyFont="true" applyBorder="false" applyAlignment="false" applyProtection="false">
      <alignment horizontal="general" vertical="bottom" textRotation="0" wrapText="false" indent="0" shrinkToFit="false"/>
      <protection locked="true" hidden="false"/>
    </xf>
    <xf numFmtId="165" fontId="6" fillId="0" borderId="0" xfId="0" applyFont="true" applyBorder="false" applyAlignment="false" applyProtection="false">
      <alignment horizontal="general" vertical="bottom" textRotation="0" wrapText="false" indent="0" shrinkToFit="false"/>
      <protection locked="true" hidden="false"/>
    </xf>
    <xf numFmtId="169" fontId="6" fillId="0" borderId="0" xfId="0" applyFont="true" applyBorder="false" applyAlignment="false" applyProtection="false">
      <alignment horizontal="general" vertical="bottom" textRotation="0" wrapText="false" indent="0" shrinkToFit="false"/>
      <protection locked="true" hidden="false"/>
    </xf>
    <xf numFmtId="170" fontId="6" fillId="0" borderId="0" xfId="0" applyFont="true" applyBorder="false" applyAlignment="false" applyProtection="false">
      <alignment horizontal="general" vertical="bottom" textRotation="0" wrapText="false" indent="0" shrinkToFit="false"/>
      <protection locked="true" hidden="false"/>
    </xf>
    <xf numFmtId="168" fontId="12" fillId="0" borderId="0" xfId="0" applyFont="true" applyBorder="false" applyAlignment="false" applyProtection="false">
      <alignment horizontal="general" vertical="bottom" textRotation="0" wrapText="false" indent="0" shrinkToFit="false"/>
      <protection locked="true" hidden="false"/>
    </xf>
    <xf numFmtId="167" fontId="12" fillId="0" borderId="0" xfId="0" applyFont="true" applyBorder="false" applyAlignment="false" applyProtection="false">
      <alignment horizontal="general" vertical="bottom" textRotation="0" wrapText="false" indent="0" shrinkToFit="false"/>
      <protection locked="true" hidden="false"/>
    </xf>
    <xf numFmtId="173" fontId="12" fillId="0" borderId="0" xfId="0" applyFont="true" applyBorder="false" applyAlignment="false" applyProtection="false">
      <alignment horizontal="general" vertical="bottom" textRotation="0" wrapText="false" indent="0" shrinkToFit="false"/>
      <protection locked="true" hidden="false"/>
    </xf>
    <xf numFmtId="169" fontId="8" fillId="0" borderId="0" xfId="0" applyFont="true" applyBorder="false" applyAlignment="false" applyProtection="false">
      <alignment horizontal="general" vertical="bottom" textRotation="0" wrapText="false" indent="0" shrinkToFit="false"/>
      <protection locked="true" hidden="false"/>
    </xf>
    <xf numFmtId="171" fontId="8"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8" fontId="0" fillId="0" borderId="0" xfId="0" applyFont="false" applyBorder="false" applyAlignment="false" applyProtection="false">
      <alignment horizontal="general" vertical="bottom" textRotation="0" wrapText="false" indent="0" shrinkToFit="false"/>
      <protection locked="true" hidden="false"/>
    </xf>
    <xf numFmtId="165" fontId="0" fillId="0" borderId="0" xfId="0" applyFont="false" applyBorder="false" applyAlignment="false" applyProtection="false">
      <alignment horizontal="general" vertical="bottom" textRotation="0" wrapText="false" indent="0" shrinkToFit="false"/>
      <protection locked="true" hidden="false"/>
    </xf>
    <xf numFmtId="169" fontId="0" fillId="0" borderId="0" xfId="0" applyFont="false" applyBorder="false" applyAlignment="false" applyProtection="false">
      <alignment horizontal="general" vertical="bottom" textRotation="0" wrapText="false" indent="0" shrinkToFit="false"/>
      <protection locked="true" hidden="false"/>
    </xf>
    <xf numFmtId="170" fontId="8" fillId="0" borderId="0" xfId="0" applyFont="true" applyBorder="false" applyAlignment="false" applyProtection="false">
      <alignment horizontal="general" vertical="bottom" textRotation="0" wrapText="false" indent="0" shrinkToFit="false"/>
      <protection locked="true" hidden="false"/>
    </xf>
    <xf numFmtId="166" fontId="8" fillId="0" borderId="0" xfId="0" applyFont="true" applyBorder="false" applyAlignment="false" applyProtection="false">
      <alignment horizontal="general" vertical="bottom" textRotation="0" wrapText="false" indent="0" shrinkToFit="false"/>
      <protection locked="true" hidden="false"/>
    </xf>
    <xf numFmtId="164" fontId="5" fillId="3" borderId="0" xfId="0" applyFont="true" applyBorder="false" applyAlignment="true" applyProtection="false">
      <alignment horizontal="general" vertical="top" textRotation="0" wrapText="true" indent="0" shrinkToFit="false"/>
      <protection locked="true" hidden="false"/>
    </xf>
    <xf numFmtId="173" fontId="8" fillId="0" borderId="0" xfId="0" applyFont="true" applyBorder="false" applyAlignment="false" applyProtection="false">
      <alignment horizontal="general" vertical="bottom" textRotation="0" wrapText="false" indent="0" shrinkToFit="false"/>
      <protection locked="true" hidden="false"/>
    </xf>
    <xf numFmtId="173" fontId="0" fillId="0" borderId="0" xfId="0" applyFont="false" applyBorder="false" applyAlignment="false" applyProtection="false">
      <alignment horizontal="general" vertical="bottom" textRotation="0" wrapText="false" indent="0" shrinkToFit="false"/>
      <protection locked="true" hidden="false"/>
    </xf>
    <xf numFmtId="174" fontId="0" fillId="0" borderId="0" xfId="0" applyFont="false" applyBorder="false" applyAlignment="false" applyProtection="false">
      <alignment horizontal="general" vertical="bottom" textRotation="0" wrapText="false" indent="0" shrinkToFit="false"/>
      <protection locked="true" hidden="false"/>
    </xf>
    <xf numFmtId="175" fontId="0" fillId="0" borderId="0" xfId="0" applyFont="false" applyBorder="false" applyAlignment="false" applyProtection="false">
      <alignment horizontal="general" vertical="bottom" textRotation="0" wrapText="false" indent="0" shrinkToFit="false"/>
      <protection locked="true" hidden="false"/>
    </xf>
    <xf numFmtId="166" fontId="0" fillId="0" borderId="0" xfId="0" applyFont="false" applyBorder="false" applyAlignment="false" applyProtection="false">
      <alignment horizontal="general" vertical="bottom" textRotation="0" wrapText="false" indent="0" shrinkToFit="false"/>
      <protection locked="true" hidden="false"/>
    </xf>
    <xf numFmtId="174" fontId="8" fillId="0" borderId="0" xfId="0" applyFont="true" applyBorder="false" applyAlignment="false" applyProtection="false">
      <alignment horizontal="general" vertical="bottom" textRotation="0" wrapText="false" indent="0" shrinkToFit="false"/>
      <protection locked="true" hidden="false"/>
    </xf>
    <xf numFmtId="175" fontId="8" fillId="0" borderId="0" xfId="0" applyFont="true" applyBorder="fals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E5E8E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C55A11"/>
      <rgbColor rgb="FF555555"/>
      <rgbColor rgb="FF969696"/>
      <rgbColor rgb="FF003366"/>
      <rgbColor rgb="FF339966"/>
      <rgbColor rgb="FF121826"/>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worksheet" Target="worksheets/sheet8.xml"/><Relationship Id="rId11" Type="http://schemas.openxmlformats.org/officeDocument/2006/relationships/worksheet" Target="worksheets/sheet9.xml"/><Relationship Id="rId12" Type="http://schemas.openxmlformats.org/officeDocument/2006/relationships/worksheet" Target="worksheets/sheet10.xml"/><Relationship Id="rId13" Type="http://schemas.openxmlformats.org/officeDocument/2006/relationships/worksheet" Target="worksheets/sheet11.xml"/><Relationship Id="rId14"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2:E48"/>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2" min="2" style="0" width="62"/>
    <col collapsed="false" customWidth="true" hidden="false" outlineLevel="0" max="4" min="3" style="0" width="16"/>
    <col collapsed="false" customWidth="true" hidden="false" outlineLevel="0" max="5" min="5" style="0" width="52"/>
  </cols>
  <sheetData>
    <row r="2" customFormat="false" ht="15" hidden="false" customHeight="false" outlineLevel="0" collapsed="false">
      <c r="B2" s="1" t="s">
        <v>0</v>
      </c>
    </row>
    <row r="4" customFormat="false" ht="15" hidden="false" customHeight="false" outlineLevel="0" collapsed="false">
      <c r="B4" s="2" t="s">
        <v>1</v>
      </c>
      <c r="C4" s="3" t="s">
        <v>2</v>
      </c>
      <c r="D4" s="4" t="s">
        <v>3</v>
      </c>
    </row>
    <row r="5" customFormat="false" ht="15" hidden="false" customHeight="false" outlineLevel="0" collapsed="false">
      <c r="B5" s="2" t="s">
        <v>4</v>
      </c>
      <c r="C5" s="3" t="s">
        <v>5</v>
      </c>
      <c r="D5" s="4" t="s">
        <v>6</v>
      </c>
    </row>
    <row r="6" customFormat="false" ht="15" hidden="false" customHeight="false" outlineLevel="0" collapsed="false">
      <c r="B6" s="2" t="s">
        <v>7</v>
      </c>
      <c r="C6" s="3" t="s">
        <v>8</v>
      </c>
      <c r="D6" s="4" t="s">
        <v>9</v>
      </c>
    </row>
    <row r="7" customFormat="false" ht="15" hidden="false" customHeight="false" outlineLevel="0" collapsed="false">
      <c r="B7" s="2" t="s">
        <v>10</v>
      </c>
      <c r="C7" s="3" t="s">
        <v>11</v>
      </c>
      <c r="D7" s="4" t="s">
        <v>12</v>
      </c>
    </row>
    <row r="9" customFormat="false" ht="15" hidden="false" customHeight="false" outlineLevel="0" collapsed="false">
      <c r="B9" s="1" t="s">
        <v>13</v>
      </c>
    </row>
    <row r="10" customFormat="false" ht="15" hidden="false" customHeight="false" outlineLevel="0" collapsed="false">
      <c r="B10" s="5" t="s">
        <v>14</v>
      </c>
      <c r="C10" s="6" t="n">
        <f aca="false">IF(C4="Current",1,IF(C4="Draft",2,3))</f>
        <v>1</v>
      </c>
    </row>
    <row r="11" customFormat="false" ht="15" hidden="false" customHeight="false" outlineLevel="0" collapsed="false">
      <c r="B11" s="5" t="s">
        <v>15</v>
      </c>
      <c r="C11" s="6" t="n">
        <f aca="false">IF(C5="Actual",Inputs!$D$12,VALUE(SUBSTITUTE(C5,"$","")))</f>
        <v>15</v>
      </c>
    </row>
    <row r="12" customFormat="false" ht="15" hidden="false" customHeight="false" outlineLevel="0" collapsed="false">
      <c r="B12" s="5" t="s">
        <v>16</v>
      </c>
      <c r="C12" s="6" t="n">
        <f aca="false">C11+Inputs!$D$56</f>
        <v>16.87</v>
      </c>
    </row>
    <row r="13" customFormat="false" ht="15" hidden="false" customHeight="false" outlineLevel="0" collapsed="false">
      <c r="B13" s="5" t="s">
        <v>17</v>
      </c>
      <c r="C13" s="6" t="n">
        <f aca="false">IF(C6="2025",Inputs!$D$14,Inputs!$D$15)</f>
        <v>108.4</v>
      </c>
    </row>
    <row r="14" customFormat="false" ht="15" hidden="false" customHeight="false" outlineLevel="0" collapsed="false">
      <c r="B14" s="5" t="s">
        <v>18</v>
      </c>
      <c r="C14" s="6" t="n">
        <f aca="false">IF(C7="Low",Inputs!$D$10,Inputs!$D$11)</f>
        <v>175</v>
      </c>
    </row>
    <row r="15" customFormat="false" ht="15" hidden="false" customHeight="false" outlineLevel="0" collapsed="false">
      <c r="B15" s="5" t="s">
        <v>19</v>
      </c>
      <c r="C15" s="6" t="n">
        <f aca="false">C12*Inputs!$D$54/1000</f>
        <v>110.3797352</v>
      </c>
    </row>
    <row r="16" customFormat="false" ht="15" hidden="false" customHeight="false" outlineLevel="0" collapsed="false">
      <c r="B16" s="5" t="s">
        <v>20</v>
      </c>
      <c r="C16" s="6" t="n">
        <f aca="false">C13/(Inputs!$D$71*4.1868/3600*Inputs!$D$72)</f>
        <v>40.8803608332956</v>
      </c>
    </row>
    <row r="17" customFormat="false" ht="15" hidden="false" customHeight="false" outlineLevel="0" collapsed="false">
      <c r="B17" s="5" t="s">
        <v>21</v>
      </c>
      <c r="C17" s="6" t="n">
        <f aca="false">(Inputs!$D$57-(Inputs!$D$55+Inputs!$D$56)*Inputs!$D$54/1000/1000*Inputs!$D$53)/Inputs!$D$53*1000</f>
        <v>38.6786619725529</v>
      </c>
    </row>
    <row r="18" customFormat="false" ht="15" hidden="false" customHeight="false" outlineLevel="0" collapsed="false">
      <c r="B18" s="5" t="s">
        <v>22</v>
      </c>
      <c r="C18" s="6" t="n">
        <f aca="false">C15+C17</f>
        <v>149.058397172553</v>
      </c>
    </row>
    <row r="20" customFormat="false" ht="15" hidden="false" customHeight="false" outlineLevel="0" collapsed="false">
      <c r="B20" s="7" t="s">
        <v>23</v>
      </c>
    </row>
    <row r="22" customFormat="false" ht="15" hidden="false" customHeight="false" outlineLevel="0" collapsed="false">
      <c r="B22" s="1" t="s">
        <v>24</v>
      </c>
    </row>
    <row r="23" customFormat="false" ht="15" hidden="false" customHeight="false" outlineLevel="0" collapsed="false">
      <c r="B23" s="8" t="s">
        <v>25</v>
      </c>
      <c r="C23" s="8" t="s">
        <v>26</v>
      </c>
      <c r="D23" s="8" t="s">
        <v>27</v>
      </c>
      <c r="E23" s="8" t="s">
        <v>28</v>
      </c>
    </row>
    <row r="24" customFormat="false" ht="30" hidden="false" customHeight="true" outlineLevel="0" collapsed="false">
      <c r="B24" s="9" t="s">
        <v>29</v>
      </c>
      <c r="C24" s="10" t="n">
        <f aca="false">Inputs!$D$3</f>
        <v>0.65</v>
      </c>
      <c r="D24" s="11" t="n">
        <f aca="false">Inputs!$D$4</f>
        <v>10</v>
      </c>
      <c r="E24" s="4" t="s">
        <v>30</v>
      </c>
    </row>
    <row r="25" customFormat="false" ht="30" hidden="false" customHeight="true" outlineLevel="0" collapsed="false">
      <c r="B25" s="9" t="s">
        <v>31</v>
      </c>
      <c r="C25" s="12" t="n">
        <f aca="false">Charts!C5</f>
        <v>1624</v>
      </c>
      <c r="D25" s="13" t="n">
        <f aca="false">Charts!C9</f>
        <v>0.072100870182916</v>
      </c>
      <c r="E25" s="4" t="s">
        <v>32</v>
      </c>
    </row>
    <row r="26" customFormat="false" ht="30" hidden="false" customHeight="true" outlineLevel="0" collapsed="false">
      <c r="B26" s="9" t="s">
        <v>33</v>
      </c>
      <c r="C26" s="12" t="n">
        <f aca="false">Stack!C26</f>
        <v>36.7845743667044</v>
      </c>
      <c r="E26" s="4" t="s">
        <v>34</v>
      </c>
    </row>
    <row r="27" customFormat="false" ht="30" hidden="false" customHeight="true" outlineLevel="0" collapsed="false">
      <c r="B27" s="9" t="s">
        <v>35</v>
      </c>
      <c r="C27" s="12" t="n">
        <f aca="false">Stack!C27</f>
        <v>93.2155012794195</v>
      </c>
      <c r="D27" s="12" t="n">
        <f aca="false">Stack!C28</f>
        <v>160.83699287942</v>
      </c>
      <c r="E27" s="4" t="s">
        <v>36</v>
      </c>
    </row>
    <row r="28" customFormat="false" ht="30" hidden="false" customHeight="true" outlineLevel="0" collapsed="false">
      <c r="B28" s="9" t="s">
        <v>37</v>
      </c>
      <c r="C28" s="14" t="n">
        <f aca="false">Stack!C29</f>
        <v>1.68813156317782</v>
      </c>
      <c r="E28" s="4" t="s">
        <v>38</v>
      </c>
    </row>
    <row r="29" customFormat="false" ht="30" hidden="false" customHeight="true" outlineLevel="0" collapsed="false">
      <c r="B29" s="9" t="s">
        <v>39</v>
      </c>
      <c r="C29" s="15" t="n">
        <f aca="false">'Post numbers'!F15</f>
        <v>44.1618000000003</v>
      </c>
      <c r="D29" s="14" t="n">
        <f aca="false">'Post numbers'!F17</f>
        <v>0.200798236693458</v>
      </c>
      <c r="E29" s="4" t="s">
        <v>40</v>
      </c>
    </row>
    <row r="30" customFormat="false" ht="30" hidden="false" customHeight="true" outlineLevel="0" collapsed="false">
      <c r="B30" s="9" t="s">
        <v>41</v>
      </c>
      <c r="C30" s="12" t="n">
        <f aca="false">Contracts!C21</f>
        <v>446.204065234253</v>
      </c>
      <c r="D30" s="12" t="n">
        <f aca="false">Contracts!C24</f>
        <v>86.6607858015481</v>
      </c>
      <c r="E30" s="4" t="s">
        <v>42</v>
      </c>
    </row>
    <row r="31" customFormat="false" ht="30" hidden="false" customHeight="true" outlineLevel="0" collapsed="false">
      <c r="B31" s="9" t="s">
        <v>43</v>
      </c>
      <c r="C31" s="12" t="n">
        <f aca="false">Contracts!E21</f>
        <v>353.137953806791</v>
      </c>
      <c r="D31" s="14" t="n">
        <f aca="false">Contracts!C27</f>
        <v>1.03660186071951</v>
      </c>
      <c r="E31" s="4" t="s">
        <v>44</v>
      </c>
    </row>
    <row r="32" customFormat="false" ht="30" hidden="false" customHeight="true" outlineLevel="0" collapsed="false">
      <c r="B32" s="9" t="s">
        <v>45</v>
      </c>
      <c r="C32" s="13" t="n">
        <f aca="false">'Post numbers'!F8</f>
        <v>0.0311837672859223</v>
      </c>
      <c r="D32" s="13" t="n">
        <f aca="false">'Post numbers'!G8</f>
        <v>0.0513198059934422</v>
      </c>
      <c r="E32" s="4" t="s">
        <v>46</v>
      </c>
    </row>
    <row r="33" customFormat="false" ht="30" hidden="false" customHeight="true" outlineLevel="0" collapsed="false">
      <c r="B33" s="9" t="s">
        <v>47</v>
      </c>
      <c r="C33" s="13" t="n">
        <f aca="false">'Post numbers'!F10</f>
        <v>0.167234089130503</v>
      </c>
      <c r="D33" s="13" t="n">
        <f aca="false">'Post numbers'!G10</f>
        <v>0.275220788141974</v>
      </c>
      <c r="E33" s="4" t="s">
        <v>48</v>
      </c>
    </row>
    <row r="34" customFormat="false" ht="30" hidden="false" customHeight="true" outlineLevel="0" collapsed="false">
      <c r="B34" s="9" t="s">
        <v>49</v>
      </c>
      <c r="C34" s="12" t="n">
        <f aca="false">'Post numbers'!F25</f>
        <v>112.5</v>
      </c>
      <c r="D34" s="12" t="n">
        <f aca="false">'Post numbers'!F26</f>
        <v>185.143703816333</v>
      </c>
      <c r="E34" s="4" t="s">
        <v>50</v>
      </c>
    </row>
    <row r="35" customFormat="false" ht="30" hidden="false" customHeight="true" outlineLevel="0" collapsed="false">
      <c r="B35" s="9" t="s">
        <v>51</v>
      </c>
      <c r="C35" s="12" t="n">
        <f aca="false">Balance!H34</f>
        <v>9614</v>
      </c>
      <c r="D35" s="12" t="n">
        <f aca="false">Balance!H58</f>
        <v>5464</v>
      </c>
      <c r="E35" s="4" t="s">
        <v>52</v>
      </c>
    </row>
    <row r="37" customFormat="false" ht="15" hidden="false" customHeight="false" outlineLevel="0" collapsed="false">
      <c r="B37" s="1" t="s">
        <v>53</v>
      </c>
    </row>
    <row r="38" customFormat="false" ht="15" hidden="false" customHeight="false" outlineLevel="0" collapsed="false">
      <c r="B38" s="2" t="s">
        <v>54</v>
      </c>
      <c r="C38" s="5" t="s">
        <v>55</v>
      </c>
    </row>
    <row r="39" customFormat="false" ht="15" hidden="false" customHeight="false" outlineLevel="0" collapsed="false">
      <c r="B39" s="2" t="s">
        <v>56</v>
      </c>
      <c r="C39" s="5" t="s">
        <v>57</v>
      </c>
    </row>
    <row r="40" customFormat="false" ht="15" hidden="false" customHeight="false" outlineLevel="0" collapsed="false">
      <c r="B40" s="2" t="s">
        <v>58</v>
      </c>
      <c r="C40" s="5" t="s">
        <v>59</v>
      </c>
    </row>
    <row r="41" customFormat="false" ht="15" hidden="false" customHeight="false" outlineLevel="0" collapsed="false">
      <c r="B41" s="2" t="s">
        <v>60</v>
      </c>
      <c r="C41" s="5" t="s">
        <v>61</v>
      </c>
    </row>
    <row r="42" customFormat="false" ht="15" hidden="false" customHeight="false" outlineLevel="0" collapsed="false">
      <c r="B42" s="2" t="s">
        <v>38</v>
      </c>
      <c r="C42" s="5" t="s">
        <v>62</v>
      </c>
    </row>
    <row r="43" customFormat="false" ht="15" hidden="false" customHeight="false" outlineLevel="0" collapsed="false">
      <c r="B43" s="2" t="s">
        <v>63</v>
      </c>
      <c r="C43" s="5" t="s">
        <v>64</v>
      </c>
    </row>
    <row r="44" customFormat="false" ht="15" hidden="false" customHeight="false" outlineLevel="0" collapsed="false">
      <c r="B44" s="2" t="s">
        <v>65</v>
      </c>
      <c r="C44" s="5" t="s">
        <v>66</v>
      </c>
    </row>
    <row r="45" customFormat="false" ht="15" hidden="false" customHeight="false" outlineLevel="0" collapsed="false">
      <c r="B45" s="2" t="s">
        <v>67</v>
      </c>
      <c r="C45" s="5" t="s">
        <v>68</v>
      </c>
    </row>
    <row r="46" customFormat="false" ht="15" hidden="false" customHeight="false" outlineLevel="0" collapsed="false">
      <c r="B46" s="2" t="s">
        <v>69</v>
      </c>
      <c r="C46" s="5" t="s">
        <v>70</v>
      </c>
    </row>
    <row r="47" customFormat="false" ht="15" hidden="false" customHeight="false" outlineLevel="0" collapsed="false">
      <c r="B47" s="2" t="s">
        <v>71</v>
      </c>
      <c r="C47" s="5" t="s">
        <v>72</v>
      </c>
    </row>
    <row r="48" customFormat="false" ht="15" hidden="false" customHeight="false" outlineLevel="0" collapsed="false">
      <c r="B48" s="2" t="s">
        <v>73</v>
      </c>
      <c r="C48" s="5" t="s">
        <v>74</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7:C18"/>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28"/>
    <col collapsed="false" customWidth="true" hidden="false" outlineLevel="0" max="3" min="3" style="0" width="120"/>
  </cols>
  <sheetData>
    <row r="7" customFormat="false" ht="17.35" hidden="false" customHeight="false" outlineLevel="0" collapsed="false">
      <c r="B7" s="16" t="s">
        <v>75</v>
      </c>
    </row>
    <row r="8" customFormat="false" ht="15" hidden="false" customHeight="false" outlineLevel="0" collapsed="false">
      <c r="B8" s="1" t="s">
        <v>76</v>
      </c>
    </row>
    <row r="10" customFormat="false" ht="45" hidden="false" customHeight="true" outlineLevel="0" collapsed="false">
      <c r="B10" s="2" t="s">
        <v>77</v>
      </c>
      <c r="C10" s="9" t="s">
        <v>78</v>
      </c>
    </row>
    <row r="11" customFormat="false" ht="30" hidden="false" customHeight="true" outlineLevel="0" collapsed="false">
      <c r="B11" s="2" t="s">
        <v>79</v>
      </c>
      <c r="C11" s="9" t="s">
        <v>80</v>
      </c>
    </row>
    <row r="12" customFormat="false" ht="30" hidden="false" customHeight="true" outlineLevel="0" collapsed="false">
      <c r="B12" s="2" t="s">
        <v>81</v>
      </c>
      <c r="C12" s="9" t="s">
        <v>82</v>
      </c>
    </row>
    <row r="13" customFormat="false" ht="30" hidden="false" customHeight="true" outlineLevel="0" collapsed="false">
      <c r="B13" s="2" t="s">
        <v>83</v>
      </c>
      <c r="C13" s="9" t="s">
        <v>84</v>
      </c>
    </row>
    <row r="14" customFormat="false" ht="30" hidden="false" customHeight="true" outlineLevel="0" collapsed="false">
      <c r="B14" s="2" t="s">
        <v>85</v>
      </c>
      <c r="C14" s="9" t="s">
        <v>86</v>
      </c>
    </row>
    <row r="15" customFormat="false" ht="45" hidden="false" customHeight="true" outlineLevel="0" collapsed="false">
      <c r="B15" s="2" t="s">
        <v>87</v>
      </c>
      <c r="C15" s="9" t="s">
        <v>88</v>
      </c>
    </row>
    <row r="16" customFormat="false" ht="30" hidden="false" customHeight="true" outlineLevel="0" collapsed="false">
      <c r="B16" s="2" t="s">
        <v>89</v>
      </c>
      <c r="C16" s="9" t="s">
        <v>90</v>
      </c>
    </row>
    <row r="17" customFormat="false" ht="30" hidden="false" customHeight="true" outlineLevel="0" collapsed="false">
      <c r="B17" s="2" t="s">
        <v>91</v>
      </c>
      <c r="C17" s="9" t="s">
        <v>92</v>
      </c>
    </row>
    <row r="18" customFormat="false" ht="30" hidden="false" customHeight="true" outlineLevel="0" collapsed="false">
      <c r="B18" s="2" t="s">
        <v>93</v>
      </c>
      <c r="C18" s="9" t="s">
        <v>94</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H10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7"/>
    <col collapsed="false" customWidth="true" hidden="false" outlineLevel="0" max="2" min="2" style="0" width="52"/>
    <col collapsed="false" customWidth="true" hidden="false" outlineLevel="0" max="3" min="3" style="0" width="12"/>
    <col collapsed="false" customWidth="true" hidden="false" outlineLevel="0" max="4" min="4" style="0" width="14"/>
    <col collapsed="false" customWidth="true" hidden="false" outlineLevel="0" max="5" min="5" style="0" width="62"/>
    <col collapsed="false" customWidth="true" hidden="false" outlineLevel="0" max="6" min="6" style="0" width="12"/>
    <col collapsed="false" customWidth="true" hidden="false" outlineLevel="0" max="7" min="7" style="0" width="16"/>
    <col collapsed="false" customWidth="true" hidden="false" outlineLevel="0" max="8" min="8" style="0" width="50"/>
  </cols>
  <sheetData>
    <row r="1" customFormat="false" ht="15" hidden="false" customHeight="false" outlineLevel="0" collapsed="false">
      <c r="A1" s="8" t="s">
        <v>95</v>
      </c>
      <c r="B1" s="8" t="s">
        <v>96</v>
      </c>
      <c r="C1" s="8" t="s">
        <v>97</v>
      </c>
      <c r="D1" s="8" t="s">
        <v>26</v>
      </c>
      <c r="E1" s="8" t="s">
        <v>98</v>
      </c>
      <c r="F1" s="8" t="s">
        <v>99</v>
      </c>
      <c r="G1" s="8" t="s">
        <v>100</v>
      </c>
      <c r="H1" s="8" t="s">
        <v>101</v>
      </c>
    </row>
    <row r="2" customFormat="false" ht="15" hidden="false" customHeight="false" outlineLevel="0" collapsed="false">
      <c r="A2" s="1" t="s">
        <v>102</v>
      </c>
    </row>
    <row r="3" customFormat="false" ht="15" hidden="false" customHeight="false" outlineLevel="0" collapsed="false">
      <c r="A3" s="5" t="s">
        <v>103</v>
      </c>
      <c r="B3" s="5" t="s">
        <v>104</v>
      </c>
      <c r="C3" s="5" t="s">
        <v>105</v>
      </c>
      <c r="D3" s="17" t="n">
        <v>0.65</v>
      </c>
      <c r="E3" s="4" t="s">
        <v>106</v>
      </c>
      <c r="F3" s="4" t="s">
        <v>107</v>
      </c>
      <c r="G3" s="4" t="s">
        <v>108</v>
      </c>
      <c r="H3" s="4"/>
    </row>
    <row r="4" customFormat="false" ht="15" hidden="false" customHeight="false" outlineLevel="0" collapsed="false">
      <c r="A4" s="5" t="s">
        <v>109</v>
      </c>
      <c r="B4" s="5" t="s">
        <v>110</v>
      </c>
      <c r="C4" s="5" t="s">
        <v>111</v>
      </c>
      <c r="D4" s="18" t="n">
        <v>10</v>
      </c>
      <c r="E4" s="4" t="s">
        <v>112</v>
      </c>
      <c r="F4" s="4" t="s">
        <v>107</v>
      </c>
      <c r="G4" s="4" t="s">
        <v>108</v>
      </c>
      <c r="H4" s="4"/>
    </row>
    <row r="5" customFormat="false" ht="15" hidden="false" customHeight="false" outlineLevel="0" collapsed="false">
      <c r="A5" s="5" t="s">
        <v>113</v>
      </c>
      <c r="B5" s="5" t="s">
        <v>114</v>
      </c>
      <c r="C5" s="5" t="s">
        <v>105</v>
      </c>
      <c r="D5" s="17" t="n">
        <v>0.75</v>
      </c>
      <c r="E5" s="4" t="s">
        <v>115</v>
      </c>
      <c r="F5" s="4" t="s">
        <v>116</v>
      </c>
      <c r="G5" s="4" t="s">
        <v>117</v>
      </c>
      <c r="H5" s="4"/>
    </row>
    <row r="6" customFormat="false" ht="15" hidden="false" customHeight="false" outlineLevel="0" collapsed="false">
      <c r="A6" s="5" t="s">
        <v>118</v>
      </c>
      <c r="B6" s="5" t="s">
        <v>119</v>
      </c>
      <c r="C6" s="5" t="s">
        <v>111</v>
      </c>
      <c r="D6" s="18" t="n">
        <v>15</v>
      </c>
      <c r="E6" s="4" t="s">
        <v>120</v>
      </c>
      <c r="F6" s="4"/>
      <c r="G6" s="4" t="s">
        <v>121</v>
      </c>
      <c r="H6" s="4"/>
    </row>
    <row r="7" customFormat="false" ht="15" hidden="false" customHeight="false" outlineLevel="0" collapsed="false">
      <c r="A7" s="5" t="s">
        <v>122</v>
      </c>
      <c r="B7" s="5" t="s">
        <v>123</v>
      </c>
      <c r="C7" s="5" t="s">
        <v>124</v>
      </c>
      <c r="D7" s="19" t="n">
        <v>0.85</v>
      </c>
      <c r="E7" s="4" t="s">
        <v>125</v>
      </c>
      <c r="F7" s="4"/>
      <c r="G7" s="4" t="s">
        <v>126</v>
      </c>
      <c r="H7" s="4" t="s">
        <v>127</v>
      </c>
    </row>
    <row r="8" customFormat="false" ht="15" hidden="false" customHeight="false" outlineLevel="0" collapsed="false">
      <c r="A8" s="5" t="s">
        <v>128</v>
      </c>
      <c r="B8" s="5" t="s">
        <v>129</v>
      </c>
      <c r="C8" s="5" t="s">
        <v>130</v>
      </c>
      <c r="D8" s="19" t="n">
        <v>0.38</v>
      </c>
      <c r="E8" s="4" t="s">
        <v>131</v>
      </c>
      <c r="F8" s="4" t="s">
        <v>132</v>
      </c>
      <c r="G8" s="4" t="s">
        <v>133</v>
      </c>
      <c r="H8" s="4"/>
    </row>
    <row r="9" customFormat="false" ht="15" hidden="false" customHeight="false" outlineLevel="0" collapsed="false">
      <c r="A9" s="5" t="s">
        <v>134</v>
      </c>
      <c r="B9" s="5" t="s">
        <v>135</v>
      </c>
      <c r="C9" s="5" t="s">
        <v>130</v>
      </c>
      <c r="D9" s="19" t="n">
        <v>0.85</v>
      </c>
      <c r="E9" s="4" t="s">
        <v>136</v>
      </c>
      <c r="F9" s="4"/>
      <c r="G9" s="4" t="s">
        <v>126</v>
      </c>
      <c r="H9" s="4"/>
    </row>
    <row r="10" customFormat="false" ht="15" hidden="false" customHeight="false" outlineLevel="0" collapsed="false">
      <c r="A10" s="5" t="s">
        <v>137</v>
      </c>
      <c r="B10" s="5" t="s">
        <v>138</v>
      </c>
      <c r="C10" s="5" t="s">
        <v>139</v>
      </c>
      <c r="D10" s="20" t="n">
        <v>175</v>
      </c>
      <c r="E10" s="4" t="s">
        <v>140</v>
      </c>
      <c r="F10" s="4" t="s">
        <v>141</v>
      </c>
      <c r="G10" s="4" t="s">
        <v>142</v>
      </c>
      <c r="H10" s="4"/>
    </row>
    <row r="11" customFormat="false" ht="15" hidden="false" customHeight="false" outlineLevel="0" collapsed="false">
      <c r="A11" s="5" t="s">
        <v>143</v>
      </c>
      <c r="B11" s="5" t="s">
        <v>144</v>
      </c>
      <c r="C11" s="5" t="s">
        <v>139</v>
      </c>
      <c r="D11" s="21" t="n">
        <f aca="false">(Inputs!$D$57/Inputs!$D$53*1000-(Inputs!$D$55+Inputs!$D$56)*Inputs!$D$54/1000)*8.76*Inputs!$D$60</f>
        <v>288.001317047629</v>
      </c>
      <c r="E11" s="4" t="s">
        <v>145</v>
      </c>
      <c r="F11" s="4" t="s">
        <v>132</v>
      </c>
      <c r="G11" s="4" t="s">
        <v>142</v>
      </c>
      <c r="H11" s="4"/>
    </row>
    <row r="12" customFormat="false" ht="15" hidden="false" customHeight="false" outlineLevel="0" collapsed="false">
      <c r="A12" s="5" t="s">
        <v>146</v>
      </c>
      <c r="B12" s="5" t="s">
        <v>147</v>
      </c>
      <c r="C12" s="5" t="s">
        <v>148</v>
      </c>
      <c r="D12" s="22" t="n">
        <v>31.49</v>
      </c>
      <c r="E12" s="4" t="s">
        <v>149</v>
      </c>
      <c r="F12" s="4" t="s">
        <v>150</v>
      </c>
      <c r="G12" s="4" t="s">
        <v>151</v>
      </c>
      <c r="H12" s="4"/>
    </row>
    <row r="13" customFormat="false" ht="15" hidden="false" customHeight="false" outlineLevel="0" collapsed="false">
      <c r="A13" s="5" t="s">
        <v>152</v>
      </c>
      <c r="B13" s="5" t="s">
        <v>153</v>
      </c>
      <c r="C13" s="5" t="s">
        <v>148</v>
      </c>
      <c r="D13" s="22" t="n">
        <v>21.155</v>
      </c>
      <c r="E13" s="4" t="s">
        <v>154</v>
      </c>
      <c r="F13" s="4" t="s">
        <v>150</v>
      </c>
      <c r="G13" s="4" t="s">
        <v>151</v>
      </c>
      <c r="H13" s="4"/>
    </row>
    <row r="14" customFormat="false" ht="15" hidden="false" customHeight="false" outlineLevel="0" collapsed="false">
      <c r="A14" s="5" t="s">
        <v>155</v>
      </c>
      <c r="B14" s="5" t="s">
        <v>156</v>
      </c>
      <c r="C14" s="5" t="s">
        <v>157</v>
      </c>
      <c r="D14" s="23" t="n">
        <v>108.4</v>
      </c>
      <c r="E14" s="4" t="s">
        <v>158</v>
      </c>
      <c r="F14" s="4" t="s">
        <v>8</v>
      </c>
      <c r="G14" s="4" t="s">
        <v>151</v>
      </c>
      <c r="H14" s="4"/>
    </row>
    <row r="15" customFormat="false" ht="15" hidden="false" customHeight="false" outlineLevel="0" collapsed="false">
      <c r="A15" s="5" t="s">
        <v>159</v>
      </c>
      <c r="B15" s="5" t="s">
        <v>160</v>
      </c>
      <c r="C15" s="5" t="s">
        <v>157</v>
      </c>
      <c r="D15" s="23" t="n">
        <v>152.3</v>
      </c>
      <c r="E15" s="4" t="s">
        <v>158</v>
      </c>
      <c r="F15" s="4" t="s">
        <v>161</v>
      </c>
      <c r="G15" s="4" t="s">
        <v>151</v>
      </c>
      <c r="H15" s="4"/>
    </row>
    <row r="16" customFormat="false" ht="15" hidden="false" customHeight="false" outlineLevel="0" collapsed="false">
      <c r="A16" s="5" t="s">
        <v>162</v>
      </c>
      <c r="B16" s="5" t="s">
        <v>163</v>
      </c>
      <c r="C16" s="5" t="s">
        <v>164</v>
      </c>
      <c r="D16" s="21" t="n">
        <f aca="false">Inputs!$D$81*1000000000/(Inputs!$D$82*1000)</f>
        <v>1555.55555555556</v>
      </c>
      <c r="E16" s="4" t="s">
        <v>165</v>
      </c>
      <c r="F16" s="4"/>
      <c r="G16" s="4" t="s">
        <v>142</v>
      </c>
      <c r="H16" s="4"/>
    </row>
    <row r="17" customFormat="false" ht="15" hidden="false" customHeight="false" outlineLevel="0" collapsed="false">
      <c r="A17" s="5" t="s">
        <v>166</v>
      </c>
      <c r="B17" s="5" t="s">
        <v>167</v>
      </c>
      <c r="C17" s="5" t="s">
        <v>168</v>
      </c>
      <c r="D17" s="20" t="n">
        <v>2000</v>
      </c>
      <c r="E17" s="4" t="s">
        <v>169</v>
      </c>
      <c r="F17" s="4" t="s">
        <v>170</v>
      </c>
      <c r="G17" s="4" t="s">
        <v>171</v>
      </c>
      <c r="H17" s="4"/>
    </row>
    <row r="18" customFormat="false" ht="15" hidden="false" customHeight="false" outlineLevel="0" collapsed="false">
      <c r="A18" s="5" t="s">
        <v>172</v>
      </c>
      <c r="B18" s="5" t="s">
        <v>173</v>
      </c>
      <c r="C18" s="5" t="s">
        <v>168</v>
      </c>
      <c r="D18" s="20" t="n">
        <v>2500</v>
      </c>
      <c r="E18" s="4" t="s">
        <v>174</v>
      </c>
      <c r="F18" s="4" t="s">
        <v>170</v>
      </c>
      <c r="G18" s="4" t="s">
        <v>171</v>
      </c>
      <c r="H18" s="4"/>
    </row>
    <row r="19" customFormat="false" ht="15" hidden="false" customHeight="false" outlineLevel="0" collapsed="false">
      <c r="A19" s="5" t="s">
        <v>175</v>
      </c>
      <c r="B19" s="5" t="s">
        <v>176</v>
      </c>
      <c r="C19" s="5" t="s">
        <v>177</v>
      </c>
      <c r="D19" s="20" t="n">
        <v>2800</v>
      </c>
      <c r="E19" s="4" t="s">
        <v>178</v>
      </c>
      <c r="F19" s="4" t="s">
        <v>179</v>
      </c>
      <c r="G19" s="4" t="s">
        <v>180</v>
      </c>
      <c r="H19" s="4"/>
    </row>
    <row r="20" customFormat="false" ht="15" hidden="false" customHeight="false" outlineLevel="0" collapsed="false">
      <c r="A20" s="1" t="s">
        <v>181</v>
      </c>
    </row>
    <row r="21" customFormat="false" ht="15" hidden="false" customHeight="false" outlineLevel="0" collapsed="false">
      <c r="A21" s="5" t="s">
        <v>182</v>
      </c>
      <c r="B21" s="5" t="s">
        <v>183</v>
      </c>
      <c r="C21" s="5" t="s">
        <v>184</v>
      </c>
      <c r="D21" s="24" t="n">
        <v>322.8</v>
      </c>
      <c r="E21" s="4" t="s">
        <v>185</v>
      </c>
      <c r="F21" s="4" t="s">
        <v>8</v>
      </c>
      <c r="G21" s="4" t="s">
        <v>151</v>
      </c>
      <c r="H21" s="4"/>
    </row>
    <row r="22" customFormat="false" ht="15" hidden="false" customHeight="false" outlineLevel="0" collapsed="false">
      <c r="A22" s="5" t="s">
        <v>186</v>
      </c>
      <c r="B22" s="5" t="s">
        <v>187</v>
      </c>
      <c r="C22" s="5" t="s">
        <v>184</v>
      </c>
      <c r="D22" s="25" t="n">
        <v>287.85</v>
      </c>
      <c r="E22" s="4" t="s">
        <v>188</v>
      </c>
      <c r="F22" s="4" t="s">
        <v>8</v>
      </c>
      <c r="G22" s="4" t="s">
        <v>171</v>
      </c>
      <c r="H22" s="4"/>
    </row>
    <row r="23" customFormat="false" ht="15" hidden="false" customHeight="false" outlineLevel="0" collapsed="false">
      <c r="A23" s="5" t="s">
        <v>189</v>
      </c>
      <c r="B23" s="5" t="s">
        <v>190</v>
      </c>
      <c r="C23" s="5" t="s">
        <v>191</v>
      </c>
      <c r="D23" s="26" t="n">
        <v>0.093</v>
      </c>
      <c r="E23" s="4" t="s">
        <v>192</v>
      </c>
      <c r="F23" s="4" t="s">
        <v>179</v>
      </c>
      <c r="G23" s="4" t="s">
        <v>151</v>
      </c>
      <c r="H23" s="4"/>
    </row>
    <row r="24" customFormat="false" ht="15" hidden="false" customHeight="false" outlineLevel="0" collapsed="false">
      <c r="A24" s="5" t="s">
        <v>193</v>
      </c>
      <c r="B24" s="5" t="s">
        <v>194</v>
      </c>
      <c r="C24" s="5" t="s">
        <v>191</v>
      </c>
      <c r="D24" s="26" t="n">
        <v>0.085</v>
      </c>
      <c r="E24" s="4" t="s">
        <v>195</v>
      </c>
      <c r="F24" s="4" t="s">
        <v>196</v>
      </c>
      <c r="G24" s="4" t="s">
        <v>171</v>
      </c>
      <c r="H24" s="4" t="s">
        <v>197</v>
      </c>
    </row>
    <row r="25" customFormat="false" ht="15" hidden="false" customHeight="false" outlineLevel="0" collapsed="false">
      <c r="A25" s="5" t="s">
        <v>198</v>
      </c>
      <c r="B25" s="5" t="s">
        <v>199</v>
      </c>
      <c r="C25" s="5" t="s">
        <v>177</v>
      </c>
      <c r="D25" s="20" t="n">
        <v>57537</v>
      </c>
      <c r="E25" s="4" t="s">
        <v>200</v>
      </c>
      <c r="F25" s="4" t="s">
        <v>201</v>
      </c>
      <c r="G25" s="4" t="s">
        <v>151</v>
      </c>
      <c r="H25" s="4"/>
    </row>
    <row r="26" customFormat="false" ht="15" hidden="false" customHeight="false" outlineLevel="0" collapsed="false">
      <c r="A26" s="5" t="s">
        <v>202</v>
      </c>
      <c r="B26" s="5" t="s">
        <v>203</v>
      </c>
      <c r="C26" s="5" t="s">
        <v>184</v>
      </c>
      <c r="D26" s="25" t="n">
        <v>265.79</v>
      </c>
      <c r="E26" s="4" t="s">
        <v>204</v>
      </c>
      <c r="F26" s="4" t="s">
        <v>179</v>
      </c>
      <c r="G26" s="4" t="s">
        <v>151</v>
      </c>
      <c r="H26" s="4"/>
    </row>
    <row r="27" customFormat="false" ht="15" hidden="false" customHeight="false" outlineLevel="0" collapsed="false">
      <c r="A27" s="5" t="s">
        <v>205</v>
      </c>
      <c r="B27" s="5" t="s">
        <v>206</v>
      </c>
      <c r="C27" s="5" t="s">
        <v>130</v>
      </c>
      <c r="D27" s="26" t="n">
        <v>0.499</v>
      </c>
      <c r="E27" s="4" t="s">
        <v>207</v>
      </c>
      <c r="F27" s="4" t="s">
        <v>179</v>
      </c>
      <c r="G27" s="4" t="s">
        <v>151</v>
      </c>
      <c r="H27" s="4"/>
    </row>
    <row r="28" customFormat="false" ht="15" hidden="false" customHeight="false" outlineLevel="0" collapsed="false">
      <c r="A28" s="5" t="s">
        <v>208</v>
      </c>
      <c r="B28" s="5" t="s">
        <v>209</v>
      </c>
      <c r="C28" s="5" t="s">
        <v>130</v>
      </c>
      <c r="D28" s="26" t="n">
        <v>0.258</v>
      </c>
      <c r="E28" s="4" t="s">
        <v>210</v>
      </c>
      <c r="F28" s="4" t="s">
        <v>179</v>
      </c>
      <c r="G28" s="4" t="s">
        <v>151</v>
      </c>
      <c r="H28" s="4"/>
    </row>
    <row r="29" customFormat="false" ht="15" hidden="false" customHeight="false" outlineLevel="0" collapsed="false">
      <c r="A29" s="5" t="s">
        <v>211</v>
      </c>
      <c r="B29" s="5" t="s">
        <v>212</v>
      </c>
      <c r="C29" s="5" t="s">
        <v>130</v>
      </c>
      <c r="D29" s="26" t="n">
        <v>0.077</v>
      </c>
      <c r="E29" s="4" t="s">
        <v>213</v>
      </c>
      <c r="F29" s="4" t="s">
        <v>179</v>
      </c>
      <c r="G29" s="4" t="s">
        <v>151</v>
      </c>
      <c r="H29" s="4"/>
    </row>
    <row r="30" customFormat="false" ht="15" hidden="false" customHeight="false" outlineLevel="0" collapsed="false">
      <c r="A30" s="5" t="s">
        <v>214</v>
      </c>
      <c r="B30" s="5" t="s">
        <v>215</v>
      </c>
      <c r="C30" s="5" t="s">
        <v>130</v>
      </c>
      <c r="D30" s="26" t="n">
        <v>0.126</v>
      </c>
      <c r="E30" s="4" t="s">
        <v>216</v>
      </c>
      <c r="F30" s="4" t="s">
        <v>179</v>
      </c>
      <c r="G30" s="4" t="s">
        <v>151</v>
      </c>
      <c r="H30" s="4"/>
    </row>
    <row r="31" customFormat="false" ht="15" hidden="false" customHeight="false" outlineLevel="0" collapsed="false">
      <c r="A31" s="5" t="s">
        <v>217</v>
      </c>
      <c r="B31" s="5" t="s">
        <v>218</v>
      </c>
      <c r="C31" s="5" t="s">
        <v>130</v>
      </c>
      <c r="D31" s="26" t="n">
        <v>0.039</v>
      </c>
      <c r="E31" s="4" t="s">
        <v>219</v>
      </c>
      <c r="F31" s="4" t="s">
        <v>179</v>
      </c>
      <c r="G31" s="4" t="s">
        <v>151</v>
      </c>
      <c r="H31" s="4"/>
    </row>
    <row r="32" customFormat="false" ht="15" hidden="false" customHeight="false" outlineLevel="0" collapsed="false">
      <c r="A32" s="5" t="s">
        <v>220</v>
      </c>
      <c r="B32" s="5" t="s">
        <v>221</v>
      </c>
      <c r="C32" s="5" t="s">
        <v>130</v>
      </c>
      <c r="D32" s="26" t="n">
        <v>0.545</v>
      </c>
      <c r="E32" s="4" t="s">
        <v>222</v>
      </c>
      <c r="F32" s="4" t="s">
        <v>201</v>
      </c>
      <c r="G32" s="4" t="s">
        <v>151</v>
      </c>
      <c r="H32" s="4"/>
    </row>
    <row r="33" customFormat="false" ht="15" hidden="false" customHeight="false" outlineLevel="0" collapsed="false">
      <c r="A33" s="5" t="s">
        <v>223</v>
      </c>
      <c r="B33" s="5" t="s">
        <v>224</v>
      </c>
      <c r="C33" s="5" t="s">
        <v>225</v>
      </c>
      <c r="D33" s="20" t="n">
        <v>1456831</v>
      </c>
      <c r="E33" s="4" t="s">
        <v>226</v>
      </c>
      <c r="F33" s="4" t="s">
        <v>141</v>
      </c>
      <c r="G33" s="4" t="s">
        <v>151</v>
      </c>
      <c r="H33" s="4"/>
    </row>
    <row r="34" customFormat="false" ht="15" hidden="false" customHeight="false" outlineLevel="0" collapsed="false">
      <c r="A34" s="5" t="s">
        <v>227</v>
      </c>
      <c r="B34" s="5" t="s">
        <v>228</v>
      </c>
      <c r="C34" s="5" t="s">
        <v>225</v>
      </c>
      <c r="D34" s="20" t="n">
        <v>1189931</v>
      </c>
      <c r="E34" s="4" t="s">
        <v>229</v>
      </c>
      <c r="F34" s="4" t="s">
        <v>141</v>
      </c>
      <c r="G34" s="4" t="s">
        <v>151</v>
      </c>
      <c r="H34" s="4"/>
    </row>
    <row r="35" customFormat="false" ht="15" hidden="false" customHeight="false" outlineLevel="0" collapsed="false">
      <c r="A35" s="5" t="s">
        <v>230</v>
      </c>
      <c r="B35" s="5" t="s">
        <v>231</v>
      </c>
      <c r="C35" s="5" t="s">
        <v>225</v>
      </c>
      <c r="D35" s="20" t="n">
        <v>31569</v>
      </c>
      <c r="E35" s="4" t="s">
        <v>226</v>
      </c>
      <c r="F35" s="4" t="s">
        <v>141</v>
      </c>
      <c r="G35" s="4" t="s">
        <v>151</v>
      </c>
      <c r="H35" s="4"/>
    </row>
    <row r="36" customFormat="false" ht="15" hidden="false" customHeight="false" outlineLevel="0" collapsed="false">
      <c r="A36" s="5" t="s">
        <v>232</v>
      </c>
      <c r="B36" s="5" t="s">
        <v>233</v>
      </c>
      <c r="C36" s="5" t="s">
        <v>225</v>
      </c>
      <c r="D36" s="20" t="n">
        <v>493625</v>
      </c>
      <c r="E36" s="4" t="s">
        <v>226</v>
      </c>
      <c r="F36" s="4" t="s">
        <v>234</v>
      </c>
      <c r="G36" s="4" t="s">
        <v>151</v>
      </c>
      <c r="H36" s="4"/>
    </row>
    <row r="37" customFormat="false" ht="15" hidden="false" customHeight="false" outlineLevel="0" collapsed="false">
      <c r="A37" s="5" t="s">
        <v>235</v>
      </c>
      <c r="B37" s="5" t="s">
        <v>236</v>
      </c>
      <c r="C37" s="5" t="s">
        <v>225</v>
      </c>
      <c r="D37" s="20" t="n">
        <v>970359</v>
      </c>
      <c r="E37" s="4" t="s">
        <v>229</v>
      </c>
      <c r="F37" s="4" t="s">
        <v>234</v>
      </c>
      <c r="G37" s="4" t="s">
        <v>151</v>
      </c>
      <c r="H37" s="4"/>
    </row>
    <row r="38" customFormat="false" ht="15" hidden="false" customHeight="false" outlineLevel="0" collapsed="false">
      <c r="A38" s="1" t="s">
        <v>237</v>
      </c>
    </row>
    <row r="39" customFormat="false" ht="15" hidden="false" customHeight="false" outlineLevel="0" collapsed="false">
      <c r="A39" s="5" t="s">
        <v>238</v>
      </c>
      <c r="B39" s="5" t="s">
        <v>239</v>
      </c>
      <c r="C39" s="5" t="s">
        <v>177</v>
      </c>
      <c r="D39" s="20" t="n">
        <v>4256</v>
      </c>
      <c r="E39" s="4" t="s">
        <v>240</v>
      </c>
      <c r="F39" s="4" t="s">
        <v>179</v>
      </c>
      <c r="G39" s="4" t="s">
        <v>241</v>
      </c>
      <c r="H39" s="4"/>
    </row>
    <row r="40" customFormat="false" ht="15" hidden="false" customHeight="false" outlineLevel="0" collapsed="false">
      <c r="A40" s="5" t="s">
        <v>242</v>
      </c>
      <c r="B40" s="5" t="s">
        <v>243</v>
      </c>
      <c r="C40" s="5" t="s">
        <v>184</v>
      </c>
      <c r="D40" s="25" t="n">
        <v>2.9</v>
      </c>
      <c r="E40" s="4" t="s">
        <v>120</v>
      </c>
      <c r="F40" s="4" t="s">
        <v>179</v>
      </c>
      <c r="G40" s="4" t="s">
        <v>180</v>
      </c>
      <c r="H40" s="4"/>
    </row>
    <row r="41" customFormat="false" ht="15" hidden="false" customHeight="false" outlineLevel="0" collapsed="false">
      <c r="A41" s="5" t="s">
        <v>244</v>
      </c>
      <c r="B41" s="5" t="s">
        <v>245</v>
      </c>
      <c r="C41" s="5" t="s">
        <v>177</v>
      </c>
      <c r="D41" s="20" t="n">
        <v>8309</v>
      </c>
      <c r="E41" s="4" t="s">
        <v>240</v>
      </c>
      <c r="F41" s="4" t="s">
        <v>179</v>
      </c>
      <c r="G41" s="4" t="s">
        <v>241</v>
      </c>
      <c r="H41" s="4"/>
    </row>
    <row r="42" customFormat="false" ht="15" hidden="false" customHeight="false" outlineLevel="0" collapsed="false">
      <c r="A42" s="5" t="s">
        <v>246</v>
      </c>
      <c r="B42" s="5" t="s">
        <v>247</v>
      </c>
      <c r="C42" s="5" t="s">
        <v>184</v>
      </c>
      <c r="D42" s="25" t="n">
        <v>20.7</v>
      </c>
      <c r="E42" s="4" t="s">
        <v>120</v>
      </c>
      <c r="F42" s="4" t="s">
        <v>179</v>
      </c>
      <c r="G42" s="4" t="s">
        <v>180</v>
      </c>
      <c r="H42" s="4"/>
    </row>
    <row r="43" customFormat="false" ht="15" hidden="false" customHeight="false" outlineLevel="0" collapsed="false">
      <c r="A43" s="5" t="s">
        <v>248</v>
      </c>
      <c r="B43" s="5" t="s">
        <v>249</v>
      </c>
      <c r="C43" s="5" t="s">
        <v>177</v>
      </c>
      <c r="D43" s="20" t="n">
        <v>13348</v>
      </c>
      <c r="E43" s="4" t="s">
        <v>240</v>
      </c>
      <c r="F43" s="4" t="s">
        <v>179</v>
      </c>
      <c r="G43" s="4" t="s">
        <v>241</v>
      </c>
      <c r="H43" s="4"/>
    </row>
    <row r="44" customFormat="false" ht="15" hidden="false" customHeight="false" outlineLevel="0" collapsed="false">
      <c r="A44" s="5" t="s">
        <v>250</v>
      </c>
      <c r="B44" s="5" t="s">
        <v>251</v>
      </c>
      <c r="C44" s="5" t="s">
        <v>184</v>
      </c>
      <c r="D44" s="25" t="n">
        <v>50.4</v>
      </c>
      <c r="E44" s="4" t="s">
        <v>120</v>
      </c>
      <c r="F44" s="4" t="s">
        <v>179</v>
      </c>
      <c r="G44" s="4" t="s">
        <v>180</v>
      </c>
      <c r="H44" s="4"/>
    </row>
    <row r="45" customFormat="false" ht="15" hidden="false" customHeight="false" outlineLevel="0" collapsed="false">
      <c r="A45" s="5" t="s">
        <v>252</v>
      </c>
      <c r="B45" s="5" t="s">
        <v>253</v>
      </c>
      <c r="C45" s="5" t="s">
        <v>177</v>
      </c>
      <c r="D45" s="20" t="n">
        <v>13964</v>
      </c>
      <c r="E45" s="4" t="s">
        <v>240</v>
      </c>
      <c r="F45" s="4" t="s">
        <v>179</v>
      </c>
      <c r="G45" s="4" t="s">
        <v>241</v>
      </c>
      <c r="H45" s="4"/>
    </row>
    <row r="46" customFormat="false" ht="15" hidden="false" customHeight="false" outlineLevel="0" collapsed="false">
      <c r="A46" s="5" t="s">
        <v>254</v>
      </c>
      <c r="B46" s="5" t="s">
        <v>255</v>
      </c>
      <c r="C46" s="5" t="s">
        <v>184</v>
      </c>
      <c r="D46" s="25" t="n">
        <v>61.18</v>
      </c>
      <c r="E46" s="4" t="s">
        <v>120</v>
      </c>
      <c r="F46" s="4" t="s">
        <v>179</v>
      </c>
      <c r="G46" s="4" t="s">
        <v>180</v>
      </c>
      <c r="H46" s="4"/>
    </row>
    <row r="47" customFormat="false" ht="15" hidden="false" customHeight="false" outlineLevel="0" collapsed="false">
      <c r="A47" s="5" t="s">
        <v>256</v>
      </c>
      <c r="B47" s="5" t="s">
        <v>257</v>
      </c>
      <c r="C47" s="5" t="s">
        <v>177</v>
      </c>
      <c r="D47" s="20" t="n">
        <v>5680</v>
      </c>
      <c r="E47" s="4" t="s">
        <v>258</v>
      </c>
      <c r="F47" s="4" t="s">
        <v>179</v>
      </c>
      <c r="G47" s="4" t="s">
        <v>259</v>
      </c>
      <c r="H47" s="4"/>
    </row>
    <row r="48" customFormat="false" ht="15" hidden="false" customHeight="false" outlineLevel="0" collapsed="false">
      <c r="A48" s="5" t="s">
        <v>260</v>
      </c>
      <c r="B48" s="5" t="s">
        <v>261</v>
      </c>
      <c r="C48" s="5" t="s">
        <v>177</v>
      </c>
      <c r="D48" s="20" t="n">
        <v>9678</v>
      </c>
      <c r="E48" s="4" t="s">
        <v>258</v>
      </c>
      <c r="F48" s="4" t="s">
        <v>179</v>
      </c>
      <c r="G48" s="4" t="s">
        <v>259</v>
      </c>
      <c r="H48" s="4"/>
    </row>
    <row r="49" customFormat="false" ht="15" hidden="false" customHeight="false" outlineLevel="0" collapsed="false">
      <c r="A49" s="5" t="s">
        <v>262</v>
      </c>
      <c r="B49" s="5" t="s">
        <v>263</v>
      </c>
      <c r="C49" s="5" t="s">
        <v>177</v>
      </c>
      <c r="D49" s="20" t="n">
        <v>14081</v>
      </c>
      <c r="E49" s="4" t="s">
        <v>258</v>
      </c>
      <c r="F49" s="4" t="s">
        <v>179</v>
      </c>
      <c r="G49" s="4" t="s">
        <v>259</v>
      </c>
      <c r="H49" s="4"/>
    </row>
    <row r="50" customFormat="false" ht="15" hidden="false" customHeight="false" outlineLevel="0" collapsed="false">
      <c r="A50" s="5" t="s">
        <v>264</v>
      </c>
      <c r="B50" s="5" t="s">
        <v>265</v>
      </c>
      <c r="C50" s="5" t="s">
        <v>177</v>
      </c>
      <c r="D50" s="20" t="n">
        <v>13026</v>
      </c>
      <c r="E50" s="4" t="s">
        <v>258</v>
      </c>
      <c r="F50" s="4" t="s">
        <v>179</v>
      </c>
      <c r="G50" s="4" t="s">
        <v>259</v>
      </c>
      <c r="H50" s="4"/>
    </row>
    <row r="51" customFormat="false" ht="15" hidden="false" customHeight="false" outlineLevel="0" collapsed="false">
      <c r="A51" s="5" t="s">
        <v>266</v>
      </c>
      <c r="B51" s="5" t="s">
        <v>267</v>
      </c>
      <c r="C51" s="5" t="s">
        <v>130</v>
      </c>
      <c r="D51" s="19" t="n">
        <v>0.9</v>
      </c>
      <c r="E51" s="4" t="s">
        <v>268</v>
      </c>
      <c r="F51" s="4"/>
      <c r="G51" s="4" t="s">
        <v>126</v>
      </c>
      <c r="H51" s="4"/>
    </row>
    <row r="52" customFormat="false" ht="15" hidden="false" customHeight="false" outlineLevel="0" collapsed="false">
      <c r="A52" s="1" t="s">
        <v>269</v>
      </c>
    </row>
    <row r="53" customFormat="false" ht="15" hidden="false" customHeight="false" outlineLevel="0" collapsed="false">
      <c r="A53" s="5" t="s">
        <v>270</v>
      </c>
      <c r="B53" s="5" t="s">
        <v>271</v>
      </c>
      <c r="C53" s="5" t="s">
        <v>272</v>
      </c>
      <c r="D53" s="20" t="n">
        <v>26378</v>
      </c>
      <c r="E53" s="4" t="s">
        <v>273</v>
      </c>
      <c r="F53" s="4" t="s">
        <v>274</v>
      </c>
      <c r="G53" s="4" t="s">
        <v>151</v>
      </c>
      <c r="H53" s="4"/>
    </row>
    <row r="54" customFormat="false" ht="15" hidden="false" customHeight="false" outlineLevel="0" collapsed="false">
      <c r="A54" s="5" t="s">
        <v>275</v>
      </c>
      <c r="B54" s="5" t="s">
        <v>276</v>
      </c>
      <c r="C54" s="5" t="s">
        <v>277</v>
      </c>
      <c r="D54" s="25" t="n">
        <v>6542.96</v>
      </c>
      <c r="E54" s="4" t="s">
        <v>278</v>
      </c>
      <c r="F54" s="4" t="s">
        <v>274</v>
      </c>
      <c r="G54" s="4" t="s">
        <v>151</v>
      </c>
      <c r="H54" s="4"/>
    </row>
    <row r="55" customFormat="false" ht="15" hidden="false" customHeight="false" outlineLevel="0" collapsed="false">
      <c r="A55" s="5" t="s">
        <v>279</v>
      </c>
      <c r="B55" s="5" t="s">
        <v>280</v>
      </c>
      <c r="C55" s="5" t="s">
        <v>148</v>
      </c>
      <c r="D55" s="27" t="n">
        <v>11.98</v>
      </c>
      <c r="E55" s="4" t="s">
        <v>281</v>
      </c>
      <c r="F55" s="4" t="s">
        <v>274</v>
      </c>
      <c r="G55" s="4" t="s">
        <v>151</v>
      </c>
      <c r="H55" s="4"/>
    </row>
    <row r="56" customFormat="false" ht="15" hidden="false" customHeight="false" outlineLevel="0" collapsed="false">
      <c r="A56" s="5" t="s">
        <v>282</v>
      </c>
      <c r="B56" s="5" t="s">
        <v>283</v>
      </c>
      <c r="C56" s="5" t="s">
        <v>148</v>
      </c>
      <c r="D56" s="27" t="n">
        <v>1.87</v>
      </c>
      <c r="E56" s="4" t="s">
        <v>281</v>
      </c>
      <c r="F56" s="4" t="s">
        <v>274</v>
      </c>
      <c r="G56" s="4" t="s">
        <v>151</v>
      </c>
      <c r="H56" s="4"/>
    </row>
    <row r="57" customFormat="false" ht="15" hidden="false" customHeight="false" outlineLevel="0" collapsed="false">
      <c r="A57" s="5" t="s">
        <v>284</v>
      </c>
      <c r="B57" s="5" t="s">
        <v>285</v>
      </c>
      <c r="C57" s="5" t="s">
        <v>286</v>
      </c>
      <c r="D57" s="25" t="n">
        <v>3410.64</v>
      </c>
      <c r="E57" s="4" t="s">
        <v>287</v>
      </c>
      <c r="F57" s="4" t="s">
        <v>274</v>
      </c>
      <c r="G57" s="4" t="s">
        <v>151</v>
      </c>
      <c r="H57" s="4"/>
    </row>
    <row r="58" customFormat="false" ht="15" hidden="false" customHeight="false" outlineLevel="0" collapsed="false">
      <c r="A58" s="5" t="s">
        <v>288</v>
      </c>
      <c r="B58" s="5" t="s">
        <v>289</v>
      </c>
      <c r="C58" s="5" t="s">
        <v>286</v>
      </c>
      <c r="D58" s="25" t="n">
        <v>2590.85</v>
      </c>
      <c r="E58" s="4" t="s">
        <v>290</v>
      </c>
      <c r="F58" s="4" t="s">
        <v>141</v>
      </c>
      <c r="G58" s="4" t="s">
        <v>151</v>
      </c>
      <c r="H58" s="4"/>
    </row>
    <row r="59" customFormat="false" ht="15" hidden="false" customHeight="false" outlineLevel="0" collapsed="false">
      <c r="A59" s="5" t="s">
        <v>291</v>
      </c>
      <c r="B59" s="5" t="s">
        <v>292</v>
      </c>
      <c r="C59" s="5" t="s">
        <v>177</v>
      </c>
      <c r="D59" s="24" t="n">
        <v>1008.104</v>
      </c>
      <c r="E59" s="4" t="s">
        <v>281</v>
      </c>
      <c r="F59" s="4" t="s">
        <v>274</v>
      </c>
      <c r="G59" s="4" t="s">
        <v>151</v>
      </c>
      <c r="H59" s="4"/>
    </row>
    <row r="60" customFormat="false" ht="15" hidden="false" customHeight="false" outlineLevel="0" collapsed="false">
      <c r="A60" s="5" t="s">
        <v>293</v>
      </c>
      <c r="B60" s="5" t="s">
        <v>294</v>
      </c>
      <c r="C60" s="5" t="s">
        <v>130</v>
      </c>
      <c r="D60" s="17" t="n">
        <v>0.85</v>
      </c>
      <c r="E60" s="4" t="s">
        <v>295</v>
      </c>
      <c r="F60" s="4" t="s">
        <v>274</v>
      </c>
      <c r="G60" s="4" t="s">
        <v>151</v>
      </c>
      <c r="H60" s="4"/>
    </row>
    <row r="61" customFormat="false" ht="15" hidden="false" customHeight="false" outlineLevel="0" collapsed="false">
      <c r="A61" s="5" t="s">
        <v>296</v>
      </c>
      <c r="B61" s="5" t="s">
        <v>297</v>
      </c>
      <c r="C61" s="5" t="s">
        <v>286</v>
      </c>
      <c r="D61" s="25" t="n">
        <v>2159.9037</v>
      </c>
      <c r="E61" s="4" t="s">
        <v>298</v>
      </c>
      <c r="F61" s="4" t="s">
        <v>161</v>
      </c>
      <c r="G61" s="4" t="s">
        <v>151</v>
      </c>
      <c r="H61" s="4"/>
    </row>
    <row r="62" customFormat="false" ht="15" hidden="false" customHeight="false" outlineLevel="0" collapsed="false">
      <c r="A62" s="5" t="s">
        <v>299</v>
      </c>
      <c r="B62" s="5" t="s">
        <v>300</v>
      </c>
      <c r="C62" s="5" t="s">
        <v>286</v>
      </c>
      <c r="D62" s="25" t="n">
        <v>2204.0655</v>
      </c>
      <c r="E62" s="4" t="s">
        <v>301</v>
      </c>
      <c r="F62" s="4" t="s">
        <v>107</v>
      </c>
      <c r="G62" s="4" t="s">
        <v>151</v>
      </c>
      <c r="H62" s="4"/>
    </row>
    <row r="63" customFormat="false" ht="15" hidden="false" customHeight="false" outlineLevel="0" collapsed="false">
      <c r="A63" s="5" t="s">
        <v>302</v>
      </c>
      <c r="B63" s="5" t="s">
        <v>303</v>
      </c>
      <c r="C63" s="5" t="s">
        <v>286</v>
      </c>
      <c r="D63" s="25" t="n">
        <v>2092.7</v>
      </c>
      <c r="E63" s="4" t="s">
        <v>304</v>
      </c>
      <c r="F63" s="4" t="s">
        <v>8</v>
      </c>
      <c r="G63" s="4" t="s">
        <v>171</v>
      </c>
      <c r="H63" s="4"/>
    </row>
    <row r="64" customFormat="false" ht="15" hidden="false" customHeight="false" outlineLevel="0" collapsed="false">
      <c r="A64" s="5" t="s">
        <v>305</v>
      </c>
      <c r="B64" s="5" t="s">
        <v>306</v>
      </c>
      <c r="C64" s="5" t="s">
        <v>286</v>
      </c>
      <c r="D64" s="25" t="n">
        <v>2444.09</v>
      </c>
      <c r="E64" s="4" t="s">
        <v>307</v>
      </c>
      <c r="F64" s="4" t="s">
        <v>308</v>
      </c>
      <c r="G64" s="4" t="s">
        <v>151</v>
      </c>
      <c r="H64" s="4"/>
    </row>
    <row r="65" customFormat="false" ht="15" hidden="false" customHeight="false" outlineLevel="0" collapsed="false">
      <c r="A65" s="5" t="s">
        <v>309</v>
      </c>
      <c r="B65" s="5" t="s">
        <v>310</v>
      </c>
      <c r="C65" s="5" t="s">
        <v>286</v>
      </c>
      <c r="D65" s="25" t="n">
        <v>1826.22</v>
      </c>
      <c r="E65" s="4" t="s">
        <v>311</v>
      </c>
      <c r="F65" s="4" t="s">
        <v>308</v>
      </c>
      <c r="G65" s="4" t="s">
        <v>151</v>
      </c>
      <c r="H65" s="4"/>
    </row>
    <row r="66" customFormat="false" ht="15" hidden="false" customHeight="false" outlineLevel="0" collapsed="false">
      <c r="A66" s="5" t="s">
        <v>312</v>
      </c>
      <c r="B66" s="5" t="s">
        <v>313</v>
      </c>
      <c r="C66" s="5" t="s">
        <v>286</v>
      </c>
      <c r="D66" s="20" t="n">
        <v>1255</v>
      </c>
      <c r="E66" s="4" t="s">
        <v>314</v>
      </c>
      <c r="F66" s="4" t="s">
        <v>315</v>
      </c>
      <c r="G66" s="4" t="s">
        <v>171</v>
      </c>
      <c r="H66" s="4"/>
    </row>
    <row r="67" customFormat="false" ht="15" hidden="false" customHeight="false" outlineLevel="0" collapsed="false">
      <c r="A67" s="5" t="s">
        <v>316</v>
      </c>
      <c r="B67" s="5" t="s">
        <v>317</v>
      </c>
      <c r="C67" s="5" t="s">
        <v>286</v>
      </c>
      <c r="D67" s="20" t="n">
        <v>1500</v>
      </c>
      <c r="E67" s="4" t="s">
        <v>318</v>
      </c>
      <c r="F67" s="4" t="s">
        <v>8</v>
      </c>
      <c r="G67" s="4" t="s">
        <v>171</v>
      </c>
      <c r="H67" s="4"/>
    </row>
    <row r="68" customFormat="false" ht="15" hidden="false" customHeight="false" outlineLevel="0" collapsed="false">
      <c r="A68" s="5" t="s">
        <v>319</v>
      </c>
      <c r="B68" s="5" t="s">
        <v>320</v>
      </c>
      <c r="C68" s="5" t="s">
        <v>286</v>
      </c>
      <c r="D68" s="20" t="n">
        <v>2850</v>
      </c>
      <c r="E68" s="4" t="s">
        <v>321</v>
      </c>
      <c r="F68" s="4" t="s">
        <v>132</v>
      </c>
      <c r="G68" s="4" t="s">
        <v>322</v>
      </c>
      <c r="H68" s="4" t="s">
        <v>323</v>
      </c>
    </row>
    <row r="69" customFormat="false" ht="15" hidden="false" customHeight="false" outlineLevel="0" collapsed="false">
      <c r="A69" s="5" t="s">
        <v>324</v>
      </c>
      <c r="B69" s="5" t="s">
        <v>325</v>
      </c>
      <c r="C69" s="5" t="s">
        <v>286</v>
      </c>
      <c r="D69" s="20" t="n">
        <v>3600</v>
      </c>
      <c r="E69" s="4" t="s">
        <v>326</v>
      </c>
      <c r="F69" s="4" t="s">
        <v>132</v>
      </c>
      <c r="G69" s="4" t="s">
        <v>322</v>
      </c>
      <c r="H69" s="4"/>
    </row>
    <row r="70" customFormat="false" ht="15" hidden="false" customHeight="false" outlineLevel="0" collapsed="false">
      <c r="A70" s="5" t="s">
        <v>327</v>
      </c>
      <c r="B70" s="5" t="s">
        <v>328</v>
      </c>
      <c r="C70" s="5" t="s">
        <v>286</v>
      </c>
      <c r="D70" s="20" t="n">
        <v>5000</v>
      </c>
      <c r="E70" s="4" t="s">
        <v>329</v>
      </c>
      <c r="F70" s="4" t="s">
        <v>132</v>
      </c>
      <c r="G70" s="4" t="s">
        <v>180</v>
      </c>
      <c r="H70" s="4"/>
    </row>
    <row r="71" customFormat="false" ht="15" hidden="false" customHeight="false" outlineLevel="0" collapsed="false">
      <c r="A71" s="5" t="s">
        <v>330</v>
      </c>
      <c r="B71" s="5" t="s">
        <v>331</v>
      </c>
      <c r="C71" s="5" t="s">
        <v>332</v>
      </c>
      <c r="D71" s="28" t="n">
        <v>6000</v>
      </c>
      <c r="E71" s="4" t="s">
        <v>333</v>
      </c>
      <c r="F71" s="4"/>
      <c r="G71" s="4" t="s">
        <v>126</v>
      </c>
      <c r="H71" s="4"/>
    </row>
    <row r="72" customFormat="false" ht="15" hidden="false" customHeight="false" outlineLevel="0" collapsed="false">
      <c r="A72" s="5" t="s">
        <v>334</v>
      </c>
      <c r="B72" s="5" t="s">
        <v>335</v>
      </c>
      <c r="C72" s="5" t="s">
        <v>130</v>
      </c>
      <c r="D72" s="19" t="n">
        <v>0.38</v>
      </c>
      <c r="E72" s="4" t="s">
        <v>336</v>
      </c>
      <c r="F72" s="4"/>
      <c r="G72" s="4" t="s">
        <v>126</v>
      </c>
      <c r="H72" s="4"/>
    </row>
    <row r="73" customFormat="false" ht="15" hidden="false" customHeight="false" outlineLevel="0" collapsed="false">
      <c r="A73" s="5" t="s">
        <v>337</v>
      </c>
      <c r="B73" s="5" t="s">
        <v>338</v>
      </c>
      <c r="C73" s="5" t="s">
        <v>339</v>
      </c>
      <c r="D73" s="29" t="n">
        <v>52</v>
      </c>
      <c r="E73" s="4" t="s">
        <v>340</v>
      </c>
      <c r="F73" s="4"/>
      <c r="G73" s="4" t="s">
        <v>142</v>
      </c>
      <c r="H73" s="4"/>
    </row>
    <row r="74" customFormat="false" ht="15" hidden="false" customHeight="false" outlineLevel="0" collapsed="false">
      <c r="A74" s="5" t="s">
        <v>341</v>
      </c>
      <c r="B74" s="5" t="s">
        <v>342</v>
      </c>
      <c r="C74" s="5" t="s">
        <v>343</v>
      </c>
      <c r="D74" s="30" t="n">
        <v>36</v>
      </c>
      <c r="E74" s="4" t="s">
        <v>344</v>
      </c>
      <c r="F74" s="4"/>
      <c r="G74" s="4" t="s">
        <v>126</v>
      </c>
      <c r="H74" s="4"/>
    </row>
    <row r="75" customFormat="false" ht="15" hidden="false" customHeight="false" outlineLevel="0" collapsed="false">
      <c r="A75" s="1" t="s">
        <v>345</v>
      </c>
    </row>
    <row r="76" customFormat="false" ht="15" hidden="false" customHeight="false" outlineLevel="0" collapsed="false">
      <c r="A76" s="5" t="s">
        <v>346</v>
      </c>
      <c r="B76" s="5" t="s">
        <v>347</v>
      </c>
      <c r="C76" s="5" t="s">
        <v>177</v>
      </c>
      <c r="D76" s="20" t="n">
        <v>1000</v>
      </c>
      <c r="E76" s="4" t="s">
        <v>348</v>
      </c>
      <c r="F76" s="4"/>
      <c r="G76" s="4" t="s">
        <v>349</v>
      </c>
      <c r="H76" s="4"/>
    </row>
    <row r="77" customFormat="false" ht="15" hidden="false" customHeight="false" outlineLevel="0" collapsed="false">
      <c r="A77" s="5" t="s">
        <v>350</v>
      </c>
      <c r="B77" s="5" t="s">
        <v>351</v>
      </c>
      <c r="C77" s="5" t="s">
        <v>177</v>
      </c>
      <c r="D77" s="20" t="n">
        <v>1624</v>
      </c>
      <c r="E77" s="4" t="s">
        <v>352</v>
      </c>
      <c r="F77" s="4" t="s">
        <v>132</v>
      </c>
      <c r="G77" s="4" t="s">
        <v>151</v>
      </c>
      <c r="H77" s="4"/>
    </row>
    <row r="78" customFormat="false" ht="15" hidden="false" customHeight="false" outlineLevel="0" collapsed="false">
      <c r="A78" s="5" t="s">
        <v>353</v>
      </c>
      <c r="B78" s="5" t="s">
        <v>354</v>
      </c>
      <c r="C78" s="5" t="s">
        <v>184</v>
      </c>
      <c r="D78" s="23" t="n">
        <v>5.4</v>
      </c>
      <c r="E78" s="4" t="s">
        <v>355</v>
      </c>
      <c r="F78" s="4" t="s">
        <v>201</v>
      </c>
      <c r="G78" s="4" t="s">
        <v>356</v>
      </c>
      <c r="H78" s="4"/>
    </row>
    <row r="79" customFormat="false" ht="15" hidden="false" customHeight="false" outlineLevel="0" collapsed="false">
      <c r="A79" s="5" t="s">
        <v>357</v>
      </c>
      <c r="B79" s="5" t="s">
        <v>358</v>
      </c>
      <c r="C79" s="5" t="s">
        <v>130</v>
      </c>
      <c r="D79" s="17" t="n">
        <v>0.2</v>
      </c>
      <c r="E79" s="4" t="s">
        <v>359</v>
      </c>
      <c r="F79" s="4" t="s">
        <v>360</v>
      </c>
      <c r="G79" s="4" t="s">
        <v>361</v>
      </c>
      <c r="H79" s="4"/>
    </row>
    <row r="80" customFormat="false" ht="15" hidden="false" customHeight="false" outlineLevel="0" collapsed="false">
      <c r="A80" s="1" t="s">
        <v>362</v>
      </c>
    </row>
    <row r="81" customFormat="false" ht="15" hidden="false" customHeight="false" outlineLevel="0" collapsed="false">
      <c r="A81" s="5" t="s">
        <v>363</v>
      </c>
      <c r="B81" s="5" t="s">
        <v>364</v>
      </c>
      <c r="C81" s="5" t="s">
        <v>365</v>
      </c>
      <c r="D81" s="23" t="n">
        <v>1.4</v>
      </c>
      <c r="E81" s="4" t="s">
        <v>366</v>
      </c>
      <c r="F81" s="4" t="s">
        <v>367</v>
      </c>
      <c r="G81" s="4" t="s">
        <v>368</v>
      </c>
      <c r="H81" s="4"/>
    </row>
    <row r="82" customFormat="false" ht="15" hidden="false" customHeight="false" outlineLevel="0" collapsed="false">
      <c r="A82" s="5" t="s">
        <v>369</v>
      </c>
      <c r="B82" s="5" t="s">
        <v>370</v>
      </c>
      <c r="C82" s="5" t="s">
        <v>371</v>
      </c>
      <c r="D82" s="20" t="n">
        <v>900</v>
      </c>
      <c r="E82" s="4" t="s">
        <v>372</v>
      </c>
      <c r="F82" s="4" t="s">
        <v>367</v>
      </c>
      <c r="G82" s="4" t="s">
        <v>171</v>
      </c>
      <c r="H82" s="4"/>
    </row>
    <row r="83" customFormat="false" ht="15" hidden="false" customHeight="false" outlineLevel="0" collapsed="false">
      <c r="A83" s="5" t="s">
        <v>373</v>
      </c>
      <c r="B83" s="5" t="s">
        <v>374</v>
      </c>
      <c r="C83" s="5" t="s">
        <v>177</v>
      </c>
      <c r="D83" s="20" t="n">
        <v>205</v>
      </c>
      <c r="E83" s="4" t="s">
        <v>375</v>
      </c>
      <c r="F83" s="4" t="s">
        <v>179</v>
      </c>
      <c r="G83" s="4" t="s">
        <v>151</v>
      </c>
      <c r="H83" s="4"/>
    </row>
    <row r="84" customFormat="false" ht="15" hidden="false" customHeight="false" outlineLevel="0" collapsed="false">
      <c r="A84" s="5" t="s">
        <v>376</v>
      </c>
      <c r="B84" s="5" t="s">
        <v>377</v>
      </c>
      <c r="C84" s="5" t="s">
        <v>177</v>
      </c>
      <c r="D84" s="20" t="n">
        <v>305</v>
      </c>
      <c r="E84" s="4" t="s">
        <v>378</v>
      </c>
      <c r="F84" s="4" t="s">
        <v>179</v>
      </c>
      <c r="G84" s="4" t="s">
        <v>151</v>
      </c>
      <c r="H84" s="4"/>
    </row>
    <row r="85" customFormat="false" ht="15" hidden="false" customHeight="false" outlineLevel="0" collapsed="false">
      <c r="A85" s="5" t="s">
        <v>379</v>
      </c>
      <c r="B85" s="5" t="s">
        <v>380</v>
      </c>
      <c r="C85" s="5" t="s">
        <v>177</v>
      </c>
      <c r="D85" s="20" t="n">
        <v>850</v>
      </c>
      <c r="E85" s="4" t="s">
        <v>381</v>
      </c>
      <c r="F85" s="4" t="s">
        <v>179</v>
      </c>
      <c r="G85" s="4" t="s">
        <v>151</v>
      </c>
      <c r="H85" s="4"/>
    </row>
    <row r="86" customFormat="false" ht="15" hidden="false" customHeight="false" outlineLevel="0" collapsed="false">
      <c r="A86" s="5" t="s">
        <v>382</v>
      </c>
      <c r="B86" s="5" t="s">
        <v>383</v>
      </c>
      <c r="C86" s="5" t="s">
        <v>130</v>
      </c>
      <c r="D86" s="17" t="n">
        <v>0.17</v>
      </c>
      <c r="E86" s="4" t="s">
        <v>384</v>
      </c>
      <c r="F86" s="4" t="s">
        <v>8</v>
      </c>
      <c r="G86" s="4" t="s">
        <v>361</v>
      </c>
      <c r="H86" s="4"/>
    </row>
    <row r="87" customFormat="false" ht="15" hidden="false" customHeight="false" outlineLevel="0" collapsed="false">
      <c r="A87" s="1" t="s">
        <v>385</v>
      </c>
    </row>
    <row r="88" customFormat="false" ht="15" hidden="false" customHeight="false" outlineLevel="0" collapsed="false">
      <c r="A88" s="5" t="s">
        <v>386</v>
      </c>
      <c r="B88" s="5" t="s">
        <v>387</v>
      </c>
      <c r="C88" s="5" t="s">
        <v>388</v>
      </c>
      <c r="D88" s="23" t="n">
        <v>5.9</v>
      </c>
      <c r="E88" s="4" t="s">
        <v>389</v>
      </c>
      <c r="F88" s="4" t="s">
        <v>8</v>
      </c>
      <c r="G88" s="4" t="s">
        <v>142</v>
      </c>
      <c r="H88" s="4"/>
    </row>
    <row r="89" customFormat="false" ht="15" hidden="false" customHeight="false" outlineLevel="0" collapsed="false">
      <c r="A89" s="5" t="s">
        <v>390</v>
      </c>
      <c r="B89" s="5" t="s">
        <v>391</v>
      </c>
      <c r="C89" s="5" t="s">
        <v>191</v>
      </c>
      <c r="D89" s="26" t="n">
        <v>-0.083</v>
      </c>
      <c r="E89" s="4" t="s">
        <v>392</v>
      </c>
      <c r="F89" s="4" t="s">
        <v>8</v>
      </c>
      <c r="G89" s="4" t="s">
        <v>171</v>
      </c>
      <c r="H89" s="4"/>
    </row>
    <row r="90" customFormat="false" ht="15" hidden="false" customHeight="false" outlineLevel="0" collapsed="false">
      <c r="A90" s="5" t="s">
        <v>393</v>
      </c>
      <c r="B90" s="5" t="s">
        <v>394</v>
      </c>
      <c r="C90" s="5" t="s">
        <v>395</v>
      </c>
      <c r="D90" s="18" t="n">
        <v>2027</v>
      </c>
      <c r="E90" s="4" t="s">
        <v>396</v>
      </c>
      <c r="F90" s="4" t="s">
        <v>360</v>
      </c>
      <c r="G90" s="4" t="s">
        <v>171</v>
      </c>
      <c r="H90" s="4"/>
    </row>
    <row r="91" customFormat="false" ht="15" hidden="false" customHeight="false" outlineLevel="0" collapsed="false">
      <c r="A91" s="5" t="s">
        <v>397</v>
      </c>
      <c r="B91" s="5" t="s">
        <v>398</v>
      </c>
      <c r="C91" s="5" t="s">
        <v>399</v>
      </c>
      <c r="D91" s="27" t="n">
        <v>5.06</v>
      </c>
      <c r="E91" s="4" t="s">
        <v>400</v>
      </c>
      <c r="F91" s="4" t="s">
        <v>360</v>
      </c>
      <c r="G91" s="4" t="s">
        <v>171</v>
      </c>
      <c r="H91" s="4"/>
    </row>
    <row r="92" customFormat="false" ht="15" hidden="false" customHeight="false" outlineLevel="0" collapsed="false">
      <c r="A92" s="5" t="s">
        <v>401</v>
      </c>
      <c r="B92" s="5" t="s">
        <v>402</v>
      </c>
      <c r="C92" s="5" t="s">
        <v>403</v>
      </c>
      <c r="D92" s="19" t="n">
        <v>0.15</v>
      </c>
      <c r="E92" s="4" t="s">
        <v>404</v>
      </c>
      <c r="F92" s="4"/>
      <c r="G92" s="4" t="s">
        <v>126</v>
      </c>
      <c r="H92" s="4"/>
    </row>
    <row r="93" customFormat="false" ht="15" hidden="false" customHeight="false" outlineLevel="0" collapsed="false">
      <c r="A93" s="5" t="s">
        <v>405</v>
      </c>
      <c r="B93" s="5" t="s">
        <v>406</v>
      </c>
      <c r="C93" s="5" t="s">
        <v>403</v>
      </c>
      <c r="D93" s="19" t="n">
        <v>0.6</v>
      </c>
      <c r="E93" s="4" t="s">
        <v>407</v>
      </c>
      <c r="F93" s="4"/>
      <c r="G93" s="4" t="s">
        <v>126</v>
      </c>
      <c r="H93" s="4"/>
    </row>
    <row r="94" customFormat="false" ht="15" hidden="false" customHeight="false" outlineLevel="0" collapsed="false">
      <c r="A94" s="5" t="s">
        <v>408</v>
      </c>
      <c r="B94" s="5" t="s">
        <v>409</v>
      </c>
      <c r="C94" s="5" t="s">
        <v>403</v>
      </c>
      <c r="D94" s="19" t="n">
        <v>1</v>
      </c>
      <c r="E94" s="4" t="s">
        <v>407</v>
      </c>
      <c r="F94" s="4"/>
      <c r="G94" s="4" t="s">
        <v>126</v>
      </c>
      <c r="H94" s="4"/>
    </row>
    <row r="95" customFormat="false" ht="15" hidden="false" customHeight="false" outlineLevel="0" collapsed="false">
      <c r="A95" s="5" t="s">
        <v>410</v>
      </c>
      <c r="B95" s="5" t="s">
        <v>411</v>
      </c>
      <c r="C95" s="5" t="s">
        <v>130</v>
      </c>
      <c r="D95" s="19" t="n">
        <v>0.8</v>
      </c>
      <c r="E95" s="4" t="s">
        <v>412</v>
      </c>
      <c r="F95" s="4"/>
      <c r="G95" s="4" t="s">
        <v>126</v>
      </c>
      <c r="H95" s="4"/>
    </row>
    <row r="96" customFormat="false" ht="15" hidden="false" customHeight="false" outlineLevel="0" collapsed="false">
      <c r="A96" s="5" t="s">
        <v>413</v>
      </c>
      <c r="B96" s="5" t="s">
        <v>414</v>
      </c>
      <c r="C96" s="5" t="s">
        <v>277</v>
      </c>
      <c r="D96" s="28" t="n">
        <v>7500</v>
      </c>
      <c r="E96" s="4" t="s">
        <v>415</v>
      </c>
      <c r="F96" s="4"/>
      <c r="G96" s="4" t="s">
        <v>126</v>
      </c>
      <c r="H96" s="4"/>
    </row>
    <row r="97" customFormat="false" ht="15" hidden="false" customHeight="false" outlineLevel="0" collapsed="false">
      <c r="A97" s="5" t="s">
        <v>416</v>
      </c>
      <c r="B97" s="5" t="s">
        <v>417</v>
      </c>
      <c r="C97" s="5" t="s">
        <v>418</v>
      </c>
      <c r="D97" s="23" t="n">
        <v>0.5</v>
      </c>
      <c r="E97" s="4" t="s">
        <v>419</v>
      </c>
      <c r="F97" s="4" t="s">
        <v>8</v>
      </c>
      <c r="G97" s="4" t="s">
        <v>180</v>
      </c>
      <c r="H97" s="4"/>
    </row>
    <row r="98" customFormat="false" ht="15" hidden="false" customHeight="false" outlineLevel="0" collapsed="false">
      <c r="A98" s="5" t="s">
        <v>420</v>
      </c>
      <c r="B98" s="5" t="s">
        <v>421</v>
      </c>
      <c r="C98" s="5" t="s">
        <v>422</v>
      </c>
      <c r="D98" s="23" t="n">
        <v>0.4</v>
      </c>
      <c r="E98" s="4" t="s">
        <v>423</v>
      </c>
      <c r="F98" s="4" t="s">
        <v>424</v>
      </c>
      <c r="G98" s="4" t="s">
        <v>151</v>
      </c>
      <c r="H98" s="4"/>
    </row>
    <row r="99" customFormat="false" ht="15" hidden="false" customHeight="false" outlineLevel="0" collapsed="false">
      <c r="A99" s="5" t="s">
        <v>425</v>
      </c>
      <c r="B99" s="5" t="s">
        <v>426</v>
      </c>
      <c r="C99" s="5" t="s">
        <v>422</v>
      </c>
      <c r="D99" s="23" t="n">
        <v>1</v>
      </c>
      <c r="E99" s="4" t="s">
        <v>427</v>
      </c>
      <c r="F99" s="4"/>
      <c r="G99" s="4" t="s">
        <v>151</v>
      </c>
      <c r="H99" s="4"/>
    </row>
    <row r="100" customFormat="false" ht="15" hidden="false" customHeight="false" outlineLevel="0" collapsed="false">
      <c r="A100" s="5" t="s">
        <v>428</v>
      </c>
      <c r="B100" s="5" t="s">
        <v>429</v>
      </c>
      <c r="C100" s="5" t="s">
        <v>422</v>
      </c>
      <c r="D100" s="23" t="n">
        <v>3</v>
      </c>
      <c r="E100" s="4" t="s">
        <v>430</v>
      </c>
      <c r="F100" s="4"/>
      <c r="G100" s="4" t="s">
        <v>151</v>
      </c>
      <c r="H100" s="4"/>
    </row>
    <row r="101" customFormat="false" ht="15" hidden="false" customHeight="false" outlineLevel="0" collapsed="false">
      <c r="A101" s="5" t="s">
        <v>431</v>
      </c>
      <c r="B101" s="5" t="s">
        <v>432</v>
      </c>
      <c r="C101" s="5" t="s">
        <v>418</v>
      </c>
      <c r="D101" s="23" t="n">
        <v>3</v>
      </c>
      <c r="E101" s="4" t="s">
        <v>433</v>
      </c>
      <c r="F101" s="4" t="s">
        <v>161</v>
      </c>
      <c r="G101" s="4" t="s">
        <v>180</v>
      </c>
      <c r="H101" s="4"/>
    </row>
    <row r="102" customFormat="false" ht="15" hidden="false" customHeight="false" outlineLevel="0" collapsed="false">
      <c r="A102" s="1" t="s">
        <v>434</v>
      </c>
    </row>
    <row r="103" customFormat="false" ht="15" hidden="false" customHeight="false" outlineLevel="0" collapsed="false">
      <c r="A103" s="5" t="s">
        <v>435</v>
      </c>
      <c r="B103" s="5" t="s">
        <v>436</v>
      </c>
      <c r="C103" s="5" t="s">
        <v>130</v>
      </c>
      <c r="D103" s="31" t="n">
        <f aca="false">1-Inputs!$D$61/Inputs!$D$62</f>
        <v>0.0200365188784092</v>
      </c>
      <c r="E103" s="4" t="s">
        <v>437</v>
      </c>
      <c r="F103" s="4"/>
      <c r="G103" s="4" t="s">
        <v>142</v>
      </c>
      <c r="H103" s="4"/>
    </row>
    <row r="104" customFormat="false" ht="15" hidden="false" customHeight="false" outlineLevel="0" collapsed="false">
      <c r="A104" s="5" t="s">
        <v>438</v>
      </c>
      <c r="B104" s="5" t="s">
        <v>439</v>
      </c>
      <c r="C104" s="5" t="s">
        <v>440</v>
      </c>
      <c r="D104" s="18" t="n">
        <v>5</v>
      </c>
      <c r="E104" s="4" t="s">
        <v>441</v>
      </c>
      <c r="F104" s="4" t="s">
        <v>161</v>
      </c>
      <c r="G104" s="4" t="s">
        <v>180</v>
      </c>
      <c r="H104" s="4"/>
    </row>
    <row r="105" customFormat="false" ht="15" hidden="false" customHeight="false" outlineLevel="0" collapsed="false">
      <c r="A105" s="5" t="s">
        <v>442</v>
      </c>
      <c r="B105" s="5" t="s">
        <v>443</v>
      </c>
      <c r="C105" s="5" t="s">
        <v>444</v>
      </c>
      <c r="D105" s="20" t="n">
        <v>1100</v>
      </c>
      <c r="E105" s="4" t="s">
        <v>445</v>
      </c>
      <c r="F105" s="4" t="s">
        <v>201</v>
      </c>
      <c r="G105" s="4" t="s">
        <v>171</v>
      </c>
      <c r="H105" s="4"/>
    </row>
    <row r="106" customFormat="false" ht="15" hidden="false" customHeight="false" outlineLevel="0" collapsed="false">
      <c r="A106" s="5" t="s">
        <v>446</v>
      </c>
      <c r="B106" s="5" t="s">
        <v>447</v>
      </c>
      <c r="C106" s="5" t="s">
        <v>177</v>
      </c>
      <c r="D106" s="20" t="n">
        <v>22524</v>
      </c>
      <c r="E106" s="4" t="s">
        <v>448</v>
      </c>
      <c r="F106" s="4" t="s">
        <v>449</v>
      </c>
      <c r="G106" s="4" t="s">
        <v>151</v>
      </c>
      <c r="H106" s="4"/>
    </row>
    <row r="107" customFormat="false" ht="15" hidden="false" customHeight="false" outlineLevel="0" collapsed="false">
      <c r="A107" s="5" t="s">
        <v>450</v>
      </c>
      <c r="B107" s="5" t="s">
        <v>451</v>
      </c>
      <c r="C107" s="5" t="s">
        <v>177</v>
      </c>
      <c r="D107" s="20" t="n">
        <v>34724</v>
      </c>
      <c r="E107" s="4" t="s">
        <v>452</v>
      </c>
      <c r="F107" s="4" t="s">
        <v>449</v>
      </c>
      <c r="G107" s="4" t="s">
        <v>151</v>
      </c>
      <c r="H107" s="4"/>
    </row>
    <row r="108" customFormat="false" ht="15" hidden="false" customHeight="false" outlineLevel="0" collapsed="false">
      <c r="A108" s="5" t="s">
        <v>453</v>
      </c>
      <c r="B108" s="5" t="s">
        <v>454</v>
      </c>
      <c r="C108" s="5" t="s">
        <v>184</v>
      </c>
      <c r="D108" s="24" t="n">
        <v>560.4</v>
      </c>
      <c r="E108" s="4" t="s">
        <v>455</v>
      </c>
      <c r="F108" s="4" t="s">
        <v>449</v>
      </c>
      <c r="G108" s="4" t="s">
        <v>151</v>
      </c>
      <c r="H108" s="4"/>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1:I6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2" min="2" style="0" width="58"/>
    <col collapsed="false" customWidth="true" hidden="false" outlineLevel="0" max="8" min="3" style="0" width="12"/>
    <col collapsed="false" customWidth="true" hidden="false" outlineLevel="0" max="9" min="9" style="0" width="70"/>
    <col collapsed="false" customWidth="true" hidden="false" outlineLevel="0" max="12" min="10" style="0" width="12"/>
  </cols>
  <sheetData>
    <row r="1" customFormat="false" ht="15" hidden="false" customHeight="false" outlineLevel="0" collapsed="false">
      <c r="B1" s="7" t="s">
        <v>456</v>
      </c>
    </row>
    <row r="2" customFormat="false" ht="15" hidden="false" customHeight="false" outlineLevel="0" collapsed="false">
      <c r="B2" s="1" t="s">
        <v>457</v>
      </c>
    </row>
    <row r="4" customFormat="false" ht="15" hidden="false" customHeight="false" outlineLevel="0" collapsed="false">
      <c r="B4" s="2" t="s">
        <v>458</v>
      </c>
      <c r="C4" s="8" t="s">
        <v>8</v>
      </c>
      <c r="D4" s="8" t="s">
        <v>132</v>
      </c>
      <c r="E4" s="8" t="s">
        <v>459</v>
      </c>
      <c r="F4" s="8" t="s">
        <v>460</v>
      </c>
      <c r="G4" s="8" t="s">
        <v>461</v>
      </c>
      <c r="H4" s="8" t="s">
        <v>462</v>
      </c>
    </row>
    <row r="5" customFormat="false" ht="15" hidden="false" customHeight="false" outlineLevel="0" collapsed="false">
      <c r="B5" s="2" t="s">
        <v>463</v>
      </c>
    </row>
    <row r="6" customFormat="false" ht="15" hidden="false" customHeight="false" outlineLevel="0" collapsed="false">
      <c r="B6" s="0" t="s">
        <v>464</v>
      </c>
      <c r="C6" s="32" t="n">
        <f aca="false">Inputs!$D$21</f>
        <v>322.8</v>
      </c>
      <c r="D6" s="32" t="n">
        <f aca="false">C6*(1+Inputs!$D$23)</f>
        <v>352.8204</v>
      </c>
      <c r="E6" s="32" t="n">
        <f aca="false">D6*(1+Inputs!$D$24)</f>
        <v>382.810134</v>
      </c>
      <c r="F6" s="32" t="n">
        <f aca="false">E6*(1+Inputs!$D$24)</f>
        <v>415.34899539</v>
      </c>
      <c r="G6" s="32" t="n">
        <f aca="false">F6*(1+Inputs!$D$24)</f>
        <v>450.65365999815</v>
      </c>
      <c r="H6" s="32" t="n">
        <f aca="false">G6*(1+Inputs!$D$24)</f>
        <v>488.959221097993</v>
      </c>
    </row>
    <row r="7" customFormat="false" ht="15" hidden="false" customHeight="false" outlineLevel="0" collapsed="false">
      <c r="B7" s="0" t="s">
        <v>465</v>
      </c>
      <c r="C7" s="32" t="n">
        <f aca="false">Inputs!$D$25/(1+Inputs!$D$23)</f>
        <v>52641.3540713632</v>
      </c>
      <c r="D7" s="32" t="n">
        <f aca="false">Inputs!$D$25</f>
        <v>57537</v>
      </c>
      <c r="E7" s="32" t="n">
        <f aca="false">D7*(1+Inputs!$D$24)</f>
        <v>62427.645</v>
      </c>
      <c r="F7" s="32" t="n">
        <f aca="false">E7*(1+Inputs!$D$24)</f>
        <v>67733.994825</v>
      </c>
      <c r="G7" s="32" t="n">
        <f aca="false">F7*(1+Inputs!$D$24)</f>
        <v>73491.384385125</v>
      </c>
      <c r="H7" s="32" t="n">
        <f aca="false">G7*(1+Inputs!$D$24)</f>
        <v>79738.1520578606</v>
      </c>
    </row>
    <row r="8" customFormat="false" ht="15" hidden="false" customHeight="false" outlineLevel="0" collapsed="false">
      <c r="B8" s="0" t="s">
        <v>466</v>
      </c>
      <c r="C8" s="32" t="n">
        <v>0</v>
      </c>
      <c r="D8" s="32" t="n">
        <v>0</v>
      </c>
      <c r="E8" s="32" t="n">
        <f aca="false">Inputs!$D$39</f>
        <v>4256</v>
      </c>
      <c r="F8" s="32" t="n">
        <f aca="false">Inputs!$D$41</f>
        <v>8309</v>
      </c>
      <c r="G8" s="32" t="n">
        <f aca="false">Inputs!$D$43</f>
        <v>13348</v>
      </c>
      <c r="H8" s="32" t="n">
        <f aca="false">Inputs!$D$45</f>
        <v>13964</v>
      </c>
    </row>
    <row r="9" customFormat="false" ht="15" hidden="false" customHeight="false" outlineLevel="0" collapsed="false">
      <c r="B9" s="0" t="s">
        <v>467</v>
      </c>
      <c r="C9" s="32" t="n">
        <v>0</v>
      </c>
      <c r="D9" s="32" t="n">
        <v>0</v>
      </c>
      <c r="E9" s="32" t="n">
        <f aca="false">Inputs!$D$40</f>
        <v>2.9</v>
      </c>
      <c r="F9" s="32" t="n">
        <f aca="false">Inputs!$D$42</f>
        <v>20.7</v>
      </c>
      <c r="G9" s="32" t="n">
        <f aca="false">Inputs!$D$44</f>
        <v>50.4</v>
      </c>
      <c r="H9" s="32" t="n">
        <f aca="false">Inputs!$D$46</f>
        <v>61.18</v>
      </c>
    </row>
    <row r="10" customFormat="false" ht="15" hidden="false" customHeight="false" outlineLevel="0" collapsed="false">
      <c r="B10" s="0" t="s">
        <v>468</v>
      </c>
      <c r="C10" s="31" t="n">
        <f aca="false">IF(C6=0,0,C9/C6)</f>
        <v>0</v>
      </c>
      <c r="D10" s="31" t="n">
        <f aca="false">IF(D6=0,0,D9/D6)</f>
        <v>0</v>
      </c>
      <c r="E10" s="31" t="n">
        <f aca="false">IF(E6=0,0,E9/E6)</f>
        <v>0.00757555702535294</v>
      </c>
      <c r="F10" s="31" t="n">
        <f aca="false">IF(F6=0,0,F9/F6)</f>
        <v>0.0498376069997794</v>
      </c>
      <c r="G10" s="31" t="n">
        <f aca="false">IF(G6=0,0,G9/G6)</f>
        <v>0.111837547264582</v>
      </c>
      <c r="H10" s="31" t="n">
        <f aca="false">IF(H6=0,0,H9/H6)</f>
        <v>0.125122908741993</v>
      </c>
    </row>
    <row r="12" customFormat="false" ht="15" hidden="false" customHeight="false" outlineLevel="0" collapsed="false">
      <c r="B12" s="7" t="s">
        <v>469</v>
      </c>
    </row>
    <row r="13" customFormat="false" ht="15" hidden="false" customHeight="false" outlineLevel="0" collapsed="false">
      <c r="B13" s="8" t="s">
        <v>470</v>
      </c>
      <c r="C13" s="8" t="s">
        <v>177</v>
      </c>
      <c r="D13" s="8" t="s">
        <v>471</v>
      </c>
      <c r="E13" s="8" t="s">
        <v>472</v>
      </c>
      <c r="F13" s="8" t="s">
        <v>473</v>
      </c>
      <c r="G13" s="8" t="s">
        <v>474</v>
      </c>
      <c r="H13" s="8" t="s">
        <v>475</v>
      </c>
      <c r="I13" s="8" t="s">
        <v>98</v>
      </c>
    </row>
    <row r="14" customFormat="false" ht="15" hidden="false" customHeight="false" outlineLevel="0" collapsed="false">
      <c r="B14" s="5" t="s">
        <v>476</v>
      </c>
      <c r="C14" s="20" t="n">
        <v>1200</v>
      </c>
      <c r="D14" s="33" t="n">
        <v>2028</v>
      </c>
      <c r="E14" s="34" t="n">
        <v>1</v>
      </c>
      <c r="F14" s="34" t="n">
        <v>1</v>
      </c>
      <c r="G14" s="34" t="n">
        <v>0.9</v>
      </c>
      <c r="H14" s="5" t="s">
        <v>477</v>
      </c>
      <c r="I14" s="4" t="s">
        <v>478</v>
      </c>
    </row>
    <row r="15" customFormat="false" ht="15" hidden="false" customHeight="false" outlineLevel="0" collapsed="false">
      <c r="B15" s="5" t="s">
        <v>479</v>
      </c>
      <c r="C15" s="20" t="n">
        <v>1500</v>
      </c>
      <c r="D15" s="34" t="n">
        <v>2030</v>
      </c>
      <c r="E15" s="34" t="n">
        <v>0</v>
      </c>
      <c r="F15" s="34" t="n">
        <v>1</v>
      </c>
      <c r="G15" s="34" t="n">
        <v>0.9</v>
      </c>
      <c r="H15" s="5" t="s">
        <v>477</v>
      </c>
      <c r="I15" s="4" t="s">
        <v>480</v>
      </c>
    </row>
    <row r="16" customFormat="false" ht="15" hidden="false" customHeight="false" outlineLevel="0" collapsed="false">
      <c r="B16" s="5" t="s">
        <v>481</v>
      </c>
      <c r="C16" s="20" t="n">
        <v>1500</v>
      </c>
      <c r="D16" s="34" t="n">
        <v>2030</v>
      </c>
      <c r="E16" s="34" t="n">
        <v>0</v>
      </c>
      <c r="F16" s="34" t="n">
        <v>2</v>
      </c>
      <c r="G16" s="34" t="n">
        <v>0.9</v>
      </c>
      <c r="H16" s="5" t="s">
        <v>477</v>
      </c>
      <c r="I16" s="4" t="s">
        <v>482</v>
      </c>
    </row>
    <row r="17" customFormat="false" ht="15" hidden="false" customHeight="false" outlineLevel="0" collapsed="false">
      <c r="B17" s="5" t="s">
        <v>483</v>
      </c>
      <c r="C17" s="20" t="n">
        <v>660</v>
      </c>
      <c r="D17" s="33" t="n">
        <v>2027</v>
      </c>
      <c r="E17" s="34" t="n">
        <v>1</v>
      </c>
      <c r="F17" s="34" t="n">
        <v>1</v>
      </c>
      <c r="G17" s="34" t="n">
        <v>0.9</v>
      </c>
      <c r="H17" s="5" t="s">
        <v>484</v>
      </c>
      <c r="I17" s="4" t="s">
        <v>485</v>
      </c>
    </row>
    <row r="18" customFormat="false" ht="15" hidden="false" customHeight="false" outlineLevel="0" collapsed="false">
      <c r="B18" s="5" t="s">
        <v>486</v>
      </c>
      <c r="C18" s="20" t="n">
        <v>1155</v>
      </c>
      <c r="D18" s="33" t="n">
        <v>2028</v>
      </c>
      <c r="E18" s="34" t="n">
        <v>1</v>
      </c>
      <c r="F18" s="34" t="n">
        <v>1</v>
      </c>
      <c r="G18" s="34" t="n">
        <v>0.9</v>
      </c>
      <c r="H18" s="5" t="s">
        <v>484</v>
      </c>
      <c r="I18" s="4" t="s">
        <v>485</v>
      </c>
    </row>
    <row r="19" customFormat="false" ht="15" hidden="false" customHeight="false" outlineLevel="0" collapsed="false">
      <c r="B19" s="5" t="s">
        <v>487</v>
      </c>
      <c r="C19" s="20" t="n">
        <v>1050</v>
      </c>
      <c r="D19" s="33" t="n">
        <v>2029</v>
      </c>
      <c r="E19" s="34" t="n">
        <v>1</v>
      </c>
      <c r="F19" s="34" t="n">
        <v>1</v>
      </c>
      <c r="G19" s="34" t="n">
        <v>0.9</v>
      </c>
      <c r="H19" s="5" t="s">
        <v>484</v>
      </c>
      <c r="I19" s="4" t="s">
        <v>485</v>
      </c>
    </row>
    <row r="20" customFormat="false" ht="15" hidden="false" customHeight="false" outlineLevel="0" collapsed="false">
      <c r="B20" s="5" t="s">
        <v>488</v>
      </c>
      <c r="C20" s="20" t="n">
        <v>1050</v>
      </c>
      <c r="D20" s="33" t="n">
        <v>2030</v>
      </c>
      <c r="E20" s="34" t="n">
        <v>1</v>
      </c>
      <c r="F20" s="34" t="n">
        <v>1</v>
      </c>
      <c r="G20" s="34" t="n">
        <v>0.9</v>
      </c>
      <c r="H20" s="5" t="s">
        <v>484</v>
      </c>
      <c r="I20" s="4" t="s">
        <v>489</v>
      </c>
    </row>
    <row r="21" customFormat="false" ht="15" hidden="false" customHeight="false" outlineLevel="0" collapsed="false">
      <c r="B21" s="5" t="s">
        <v>490</v>
      </c>
      <c r="C21" s="20" t="n">
        <v>700</v>
      </c>
      <c r="D21" s="33" t="n">
        <v>2027</v>
      </c>
      <c r="E21" s="34" t="n">
        <v>0</v>
      </c>
      <c r="F21" s="34" t="n">
        <v>1</v>
      </c>
      <c r="G21" s="34" t="n">
        <v>1</v>
      </c>
      <c r="H21" s="5" t="s">
        <v>491</v>
      </c>
      <c r="I21" s="4" t="s">
        <v>492</v>
      </c>
    </row>
    <row r="22" customFormat="false" ht="15" hidden="false" customHeight="false" outlineLevel="0" collapsed="false">
      <c r="B22" s="5" t="s">
        <v>493</v>
      </c>
      <c r="C22" s="20" t="n">
        <v>1700</v>
      </c>
      <c r="D22" s="33" t="n">
        <v>2028</v>
      </c>
      <c r="E22" s="34" t="n">
        <v>0</v>
      </c>
      <c r="F22" s="34" t="n">
        <v>1</v>
      </c>
      <c r="G22" s="34" t="n">
        <v>1</v>
      </c>
      <c r="H22" s="5" t="s">
        <v>491</v>
      </c>
      <c r="I22" s="4" t="s">
        <v>120</v>
      </c>
    </row>
    <row r="23" customFormat="false" ht="15" hidden="false" customHeight="false" outlineLevel="0" collapsed="false">
      <c r="B23" s="5" t="s">
        <v>494</v>
      </c>
      <c r="C23" s="20" t="n">
        <v>600</v>
      </c>
      <c r="D23" s="33" t="n">
        <v>2027</v>
      </c>
      <c r="E23" s="34" t="n">
        <v>0</v>
      </c>
      <c r="F23" s="34" t="n">
        <v>1</v>
      </c>
      <c r="G23" s="34" t="n">
        <v>1</v>
      </c>
      <c r="H23" s="5" t="s">
        <v>491</v>
      </c>
      <c r="I23" s="4" t="s">
        <v>495</v>
      </c>
    </row>
    <row r="24" customFormat="false" ht="15" hidden="false" customHeight="false" outlineLevel="0" collapsed="false">
      <c r="B24" s="5" t="s">
        <v>496</v>
      </c>
      <c r="C24" s="20" t="n">
        <v>2800</v>
      </c>
      <c r="D24" s="33" t="n">
        <v>2027</v>
      </c>
      <c r="E24" s="34" t="n">
        <v>0</v>
      </c>
      <c r="F24" s="34" t="n">
        <v>3</v>
      </c>
      <c r="G24" s="34" t="n">
        <v>1</v>
      </c>
      <c r="H24" s="5" t="s">
        <v>497</v>
      </c>
      <c r="I24" s="4" t="s">
        <v>498</v>
      </c>
    </row>
    <row r="25" customFormat="false" ht="15" hidden="false" customHeight="false" outlineLevel="0" collapsed="false">
      <c r="B25" s="5" t="s">
        <v>499</v>
      </c>
      <c r="C25" s="20" t="n">
        <v>5300</v>
      </c>
      <c r="D25" s="33" t="n">
        <v>2030</v>
      </c>
      <c r="E25" s="34" t="n">
        <v>0</v>
      </c>
      <c r="F25" s="34" t="n">
        <v>9</v>
      </c>
      <c r="G25" s="34" t="n">
        <v>0.85</v>
      </c>
      <c r="H25" s="5" t="s">
        <v>500</v>
      </c>
      <c r="I25" s="4" t="s">
        <v>501</v>
      </c>
    </row>
    <row r="28" customFormat="false" ht="15" hidden="false" customHeight="false" outlineLevel="0" collapsed="false">
      <c r="B28" s="7" t="s">
        <v>502</v>
      </c>
    </row>
    <row r="30" customFormat="false" ht="15" hidden="false" customHeight="false" outlineLevel="0" collapsed="false">
      <c r="B30" s="2" t="s">
        <v>503</v>
      </c>
    </row>
    <row r="31" customFormat="false" ht="15" hidden="false" customHeight="false" outlineLevel="0" collapsed="false">
      <c r="B31" s="0" t="s">
        <v>504</v>
      </c>
      <c r="C31" s="35" t="n">
        <f aca="false">SUMPRODUCT(($D$14:$D$25&lt;=C$4+0)*($E$14:$E$25=0)*($F$14:$F$25&lt;=1)*$G$14:$G$25*$C$14:$C$25)</f>
        <v>0</v>
      </c>
      <c r="D31" s="35" t="n">
        <f aca="false">SUMPRODUCT(($D$14:$D$25&lt;=D$4+0)*($E$14:$E$25=0)*($F$14:$F$25&lt;=1)*$G$14:$G$25*$C$14:$C$25)</f>
        <v>0</v>
      </c>
      <c r="E31" s="35" t="n">
        <f aca="false">SUMPRODUCT(($D$14:$D$25&lt;=E$4+0)*($E$14:$E$25=0)*($F$14:$F$25&lt;=1)*$G$14:$G$25*$C$14:$C$25)</f>
        <v>1300</v>
      </c>
      <c r="F31" s="35" t="n">
        <f aca="false">SUMPRODUCT(($D$14:$D$25&lt;=F$4+0)*($E$14:$E$25=0)*($F$14:$F$25&lt;=1)*$G$14:$G$25*$C$14:$C$25)</f>
        <v>3000</v>
      </c>
      <c r="G31" s="35" t="n">
        <f aca="false">SUMPRODUCT(($D$14:$D$25&lt;=G$4+0)*($E$14:$E$25=0)*($F$14:$F$25&lt;=1)*$G$14:$G$25*$C$14:$C$25)</f>
        <v>3000</v>
      </c>
      <c r="H31" s="35" t="n">
        <f aca="false">SUMPRODUCT(($D$14:$D$25&lt;=H$4+0)*($E$14:$E$25=0)*($F$14:$F$25&lt;=1)*$G$14:$G$25*$C$14:$C$25)</f>
        <v>4350</v>
      </c>
    </row>
    <row r="32" customFormat="false" ht="15" hidden="false" customHeight="false" outlineLevel="0" collapsed="false">
      <c r="B32" s="0" t="s">
        <v>505</v>
      </c>
      <c r="C32" s="35" t="n">
        <f aca="false">0</f>
        <v>0</v>
      </c>
      <c r="D32" s="35" t="n">
        <f aca="false">0</f>
        <v>0</v>
      </c>
      <c r="E32" s="35" t="n">
        <f aca="false">0</f>
        <v>0</v>
      </c>
      <c r="F32" s="35" t="n">
        <f aca="false">0</f>
        <v>0</v>
      </c>
      <c r="G32" s="35" t="n">
        <f aca="false">0</f>
        <v>0</v>
      </c>
      <c r="H32" s="35" t="n">
        <f aca="false">0</f>
        <v>0</v>
      </c>
    </row>
    <row r="33" customFormat="false" ht="15" hidden="false" customHeight="false" outlineLevel="0" collapsed="false">
      <c r="B33" s="0" t="s">
        <v>506</v>
      </c>
      <c r="C33" s="35" t="n">
        <f aca="false">SUMPRODUCT(($D$14:$D$25&lt;=C$4+0)*($F$14:$F$25&lt;=1)*($H$14:$H$25="Storage")*$C$14:$C$25)</f>
        <v>0</v>
      </c>
      <c r="D33" s="35" t="n">
        <f aca="false">SUMPRODUCT(($D$14:$D$25&lt;=D$4+0)*($F$14:$F$25&lt;=1)*($H$14:$H$25="Storage")*$C$14:$C$25)</f>
        <v>0</v>
      </c>
      <c r="E33" s="35" t="n">
        <f aca="false">SUMPRODUCT(($D$14:$D$25&lt;=E$4+0)*($F$14:$F$25&lt;=1)*($H$14:$H$25="Storage")*$C$14:$C$25)</f>
        <v>0</v>
      </c>
      <c r="F33" s="35" t="n">
        <f aca="false">SUMPRODUCT(($D$14:$D$25&lt;=F$4+0)*($F$14:$F$25&lt;=1)*($H$14:$H$25="Storage")*$C$14:$C$25)</f>
        <v>0</v>
      </c>
      <c r="G33" s="35" t="n">
        <f aca="false">SUMPRODUCT(($D$14:$D$25&lt;=G$4+0)*($F$14:$F$25&lt;=1)*($H$14:$H$25="Storage")*$C$14:$C$25)</f>
        <v>0</v>
      </c>
      <c r="H33" s="35" t="n">
        <f aca="false">SUMPRODUCT(($D$14:$D$25&lt;=H$4+0)*($F$14:$F$25&lt;=1)*($H$14:$H$25="Storage")*$C$14:$C$25)</f>
        <v>0</v>
      </c>
    </row>
    <row r="34" customFormat="false" ht="15" hidden="false" customHeight="false" outlineLevel="0" collapsed="false">
      <c r="B34" s="0" t="s">
        <v>507</v>
      </c>
      <c r="C34" s="35" t="n">
        <f aca="false">MAX(0,C8-C31)</f>
        <v>0</v>
      </c>
      <c r="D34" s="35" t="n">
        <f aca="false">MAX(0,D8-D31)</f>
        <v>0</v>
      </c>
      <c r="E34" s="35" t="n">
        <f aca="false">MAX(0,E8-E31)</f>
        <v>2956</v>
      </c>
      <c r="F34" s="35" t="n">
        <f aca="false">MAX(0,F8-F31)</f>
        <v>5309</v>
      </c>
      <c r="G34" s="35" t="n">
        <f aca="false">MAX(0,G8-G31)</f>
        <v>10348</v>
      </c>
      <c r="H34" s="35" t="n">
        <f aca="false">MAX(0,H8-H31)</f>
        <v>9614</v>
      </c>
    </row>
    <row r="35" customFormat="false" ht="15" hidden="false" customHeight="false" outlineLevel="0" collapsed="false">
      <c r="B35" s="0" t="s">
        <v>508</v>
      </c>
      <c r="C35" s="36" t="n">
        <f aca="false">IF(C8=0,0,C9*C34/C8)</f>
        <v>0</v>
      </c>
      <c r="D35" s="36" t="n">
        <f aca="false">IF(D8=0,0,D9*D34/D8)</f>
        <v>0</v>
      </c>
      <c r="E35" s="36" t="n">
        <f aca="false">IF(E8=0,0,E9*E34/E8)</f>
        <v>2.01419172932331</v>
      </c>
      <c r="F35" s="36" t="n">
        <f aca="false">IF(F8=0,0,F9*F34/F8)</f>
        <v>13.2261764351908</v>
      </c>
      <c r="G35" s="36" t="n">
        <f aca="false">IF(G8=0,0,G9*G34/G8)</f>
        <v>39.072460293677</v>
      </c>
      <c r="H35" s="36" t="n">
        <f aca="false">IF(H8=0,0,H9*H34/H8)</f>
        <v>42.1214924090519</v>
      </c>
    </row>
    <row r="36" customFormat="false" ht="15" hidden="false" customHeight="false" outlineLevel="0" collapsed="false">
      <c r="B36" s="0" t="s">
        <v>509</v>
      </c>
      <c r="C36" s="36" t="n">
        <f aca="false">C35*Inputs!$D$16/1000</f>
        <v>0</v>
      </c>
      <c r="D36" s="36" t="n">
        <f aca="false">D35*Inputs!$D$16/1000</f>
        <v>0</v>
      </c>
      <c r="E36" s="36" t="n">
        <f aca="false">E35*Inputs!$D$16/1000</f>
        <v>3.13318713450292</v>
      </c>
      <c r="F36" s="36" t="n">
        <f aca="false">F35*Inputs!$D$16/1000</f>
        <v>20.574052232519</v>
      </c>
      <c r="G36" s="36" t="n">
        <f aca="false">G35*Inputs!$D$16/1000</f>
        <v>60.779382679053</v>
      </c>
      <c r="H36" s="36" t="n">
        <f aca="false">H35*Inputs!$D$16/1000</f>
        <v>65.5223215251918</v>
      </c>
    </row>
    <row r="37" customFormat="false" ht="15" hidden="false" customHeight="false" outlineLevel="0" collapsed="false">
      <c r="B37" s="0" t="s">
        <v>510</v>
      </c>
      <c r="C37" s="36" t="n">
        <f aca="false">C32*'Start here'!$C$14/1000000</f>
        <v>0</v>
      </c>
      <c r="D37" s="36" t="n">
        <f aca="false">D32*'Start here'!$C$14/1000000</f>
        <v>0</v>
      </c>
      <c r="E37" s="36" t="n">
        <f aca="false">E32*'Start here'!$C$14/1000000</f>
        <v>0</v>
      </c>
      <c r="F37" s="36" t="n">
        <f aca="false">F32*'Start here'!$C$14/1000000</f>
        <v>0</v>
      </c>
      <c r="G37" s="36" t="n">
        <f aca="false">G32*'Start here'!$C$14/1000000</f>
        <v>0</v>
      </c>
      <c r="H37" s="36" t="n">
        <f aca="false">H32*'Start here'!$C$14/1000000</f>
        <v>0</v>
      </c>
    </row>
    <row r="38" customFormat="false" ht="15" hidden="false" customHeight="false" outlineLevel="0" collapsed="false">
      <c r="B38" s="0" t="s">
        <v>511</v>
      </c>
      <c r="C38" s="36" t="n">
        <f aca="false">C33*(Inputs!$D$17+Inputs!$D$18)/2*12/1000000000</f>
        <v>0</v>
      </c>
      <c r="D38" s="36" t="n">
        <f aca="false">D33*(Inputs!$D$17+Inputs!$D$18)/2*12/1000000000</f>
        <v>0</v>
      </c>
      <c r="E38" s="36" t="n">
        <f aca="false">E33*(Inputs!$D$17+Inputs!$D$18)/2*12/1000000000</f>
        <v>0</v>
      </c>
      <c r="F38" s="36" t="n">
        <f aca="false">F33*(Inputs!$D$17+Inputs!$D$18)/2*12/1000000000</f>
        <v>0</v>
      </c>
      <c r="G38" s="36" t="n">
        <f aca="false">G33*(Inputs!$D$17+Inputs!$D$18)/2*12/1000000000</f>
        <v>0</v>
      </c>
      <c r="H38" s="36" t="n">
        <f aca="false">H33*(Inputs!$D$17+Inputs!$D$18)/2*12/1000000000</f>
        <v>0</v>
      </c>
    </row>
    <row r="39" customFormat="false" ht="15" hidden="false" customHeight="false" outlineLevel="0" collapsed="false">
      <c r="B39" s="0" t="s">
        <v>512</v>
      </c>
      <c r="C39" s="37" t="n">
        <f aca="false">(C37+C38)*1000000000*Inputs!$D$53/(Inputs!$D$22*1000000000)/Inputs!$D$61</f>
        <v>0</v>
      </c>
      <c r="D39" s="37" t="n">
        <f aca="false">(D37+D38)*1000000000*Inputs!$D$53/(Inputs!$D$22*1000000000)/Inputs!$D$61</f>
        <v>0</v>
      </c>
      <c r="E39" s="37" t="n">
        <f aca="false">(E37+E38)*1000000000*Inputs!$D$53/(Inputs!$D$22*1000000000)/Inputs!$D$61</f>
        <v>0</v>
      </c>
      <c r="F39" s="37" t="n">
        <f aca="false">(F37+F38)*1000000000*Inputs!$D$53/(Inputs!$D$22*1000000000)/Inputs!$D$61</f>
        <v>0</v>
      </c>
      <c r="G39" s="37" t="n">
        <f aca="false">(G37+G38)*1000000000*Inputs!$D$53/(Inputs!$D$22*1000000000)/Inputs!$D$61</f>
        <v>0</v>
      </c>
      <c r="H39" s="37" t="n">
        <f aca="false">(H37+H38)*1000000000*Inputs!$D$53/(Inputs!$D$22*1000000000)/Inputs!$D$61</f>
        <v>0</v>
      </c>
    </row>
    <row r="40" customFormat="false" ht="15" hidden="false" customHeight="false" outlineLevel="0" collapsed="false">
      <c r="B40" s="0" t="s">
        <v>513</v>
      </c>
      <c r="C40" s="35" t="n">
        <f aca="false">SUMPRODUCT(($D$14:$D$25&lt;=C$4+0)*($F$14:$F$25&lt;=1)*$G$14:$G$25*$C$14:$C$25)</f>
        <v>0</v>
      </c>
      <c r="D40" s="35" t="n">
        <f aca="false">SUMPRODUCT(($D$14:$D$25&lt;=D$4+0)*($F$14:$F$25&lt;=1)*$G$14:$G$25*$C$14:$C$25)</f>
        <v>0</v>
      </c>
      <c r="E40" s="35" t="n">
        <f aca="false">SUMPRODUCT(($D$14:$D$25&lt;=E$4+0)*($F$14:$F$25&lt;=1)*$G$14:$G$25*$C$14:$C$25)</f>
        <v>1894</v>
      </c>
      <c r="F40" s="35" t="n">
        <f aca="false">SUMPRODUCT(($D$14:$D$25&lt;=F$4+0)*($F$14:$F$25&lt;=1)*$G$14:$G$25*$C$14:$C$25)</f>
        <v>5713.5</v>
      </c>
      <c r="G40" s="35" t="n">
        <f aca="false">SUMPRODUCT(($D$14:$D$25&lt;=G$4+0)*($F$14:$F$25&lt;=1)*$G$14:$G$25*$C$14:$C$25)</f>
        <v>6658.5</v>
      </c>
      <c r="H40" s="35" t="n">
        <f aca="false">SUMPRODUCT(($D$14:$D$25&lt;=H$4+0)*($F$14:$F$25&lt;=1)*$G$14:$G$25*$C$14:$C$25)</f>
        <v>8953.5</v>
      </c>
    </row>
    <row r="42" customFormat="false" ht="15" hidden="false" customHeight="false" outlineLevel="0" collapsed="false">
      <c r="B42" s="2" t="s">
        <v>514</v>
      </c>
    </row>
    <row r="43" customFormat="false" ht="15" hidden="false" customHeight="false" outlineLevel="0" collapsed="false">
      <c r="B43" s="0" t="s">
        <v>504</v>
      </c>
      <c r="C43" s="35" t="n">
        <f aca="false">SUMPRODUCT(($D$14:$D$25&lt;=C$4+0)*($E$14:$E$25=0)*($F$14:$F$25&lt;=2)*$G$14:$G$25*$C$14:$C$25)</f>
        <v>0</v>
      </c>
      <c r="D43" s="35" t="n">
        <f aca="false">SUMPRODUCT(($D$14:$D$25&lt;=D$4+0)*($E$14:$E$25=0)*($F$14:$F$25&lt;=2)*$G$14:$G$25*$C$14:$C$25)</f>
        <v>0</v>
      </c>
      <c r="E43" s="35" t="n">
        <f aca="false">SUMPRODUCT(($D$14:$D$25&lt;=E$4+0)*($E$14:$E$25=0)*($F$14:$F$25&lt;=2)*$G$14:$G$25*$C$14:$C$25)</f>
        <v>1300</v>
      </c>
      <c r="F43" s="35" t="n">
        <f aca="false">SUMPRODUCT(($D$14:$D$25&lt;=F$4+0)*($E$14:$E$25=0)*($F$14:$F$25&lt;=2)*$G$14:$G$25*$C$14:$C$25)</f>
        <v>3000</v>
      </c>
      <c r="G43" s="35" t="n">
        <f aca="false">SUMPRODUCT(($D$14:$D$25&lt;=G$4+0)*($E$14:$E$25=0)*($F$14:$F$25&lt;=2)*$G$14:$G$25*$C$14:$C$25)</f>
        <v>3000</v>
      </c>
      <c r="H43" s="35" t="n">
        <f aca="false">SUMPRODUCT(($D$14:$D$25&lt;=H$4+0)*($E$14:$E$25=0)*($F$14:$F$25&lt;=2)*$G$14:$G$25*$C$14:$C$25)</f>
        <v>5700</v>
      </c>
    </row>
    <row r="44" customFormat="false" ht="15" hidden="false" customHeight="false" outlineLevel="0" collapsed="false">
      <c r="B44" s="0" t="s">
        <v>505</v>
      </c>
      <c r="C44" s="35" t="n">
        <f aca="false">0</f>
        <v>0</v>
      </c>
      <c r="D44" s="35" t="n">
        <f aca="false">0</f>
        <v>0</v>
      </c>
      <c r="E44" s="35" t="n">
        <f aca="false">0</f>
        <v>0</v>
      </c>
      <c r="F44" s="35" t="n">
        <f aca="false">0</f>
        <v>0</v>
      </c>
      <c r="G44" s="35" t="n">
        <f aca="false">0</f>
        <v>0</v>
      </c>
      <c r="H44" s="35" t="n">
        <f aca="false">0</f>
        <v>0</v>
      </c>
    </row>
    <row r="45" customFormat="false" ht="15" hidden="false" customHeight="false" outlineLevel="0" collapsed="false">
      <c r="B45" s="0" t="s">
        <v>506</v>
      </c>
      <c r="C45" s="35" t="n">
        <f aca="false">SUMPRODUCT(($D$14:$D$25&lt;=C$4+0)*($F$14:$F$25&lt;=2)*($H$14:$H$25="Storage")*$C$14:$C$25)</f>
        <v>0</v>
      </c>
      <c r="D45" s="35" t="n">
        <f aca="false">SUMPRODUCT(($D$14:$D$25&lt;=D$4+0)*($F$14:$F$25&lt;=2)*($H$14:$H$25="Storage")*$C$14:$C$25)</f>
        <v>0</v>
      </c>
      <c r="E45" s="35" t="n">
        <f aca="false">SUMPRODUCT(($D$14:$D$25&lt;=E$4+0)*($F$14:$F$25&lt;=2)*($H$14:$H$25="Storage")*$C$14:$C$25)</f>
        <v>0</v>
      </c>
      <c r="F45" s="35" t="n">
        <f aca="false">SUMPRODUCT(($D$14:$D$25&lt;=F$4+0)*($F$14:$F$25&lt;=2)*($H$14:$H$25="Storage")*$C$14:$C$25)</f>
        <v>0</v>
      </c>
      <c r="G45" s="35" t="n">
        <f aca="false">SUMPRODUCT(($D$14:$D$25&lt;=G$4+0)*($F$14:$F$25&lt;=2)*($H$14:$H$25="Storage")*$C$14:$C$25)</f>
        <v>0</v>
      </c>
      <c r="H45" s="35" t="n">
        <f aca="false">SUMPRODUCT(($D$14:$D$25&lt;=H$4+0)*($F$14:$F$25&lt;=2)*($H$14:$H$25="Storage")*$C$14:$C$25)</f>
        <v>0</v>
      </c>
    </row>
    <row r="46" customFormat="false" ht="15" hidden="false" customHeight="false" outlineLevel="0" collapsed="false">
      <c r="B46" s="0" t="s">
        <v>507</v>
      </c>
      <c r="C46" s="35" t="n">
        <f aca="false">MAX(0,C8-C43)</f>
        <v>0</v>
      </c>
      <c r="D46" s="35" t="n">
        <f aca="false">MAX(0,D8-D43)</f>
        <v>0</v>
      </c>
      <c r="E46" s="35" t="n">
        <f aca="false">MAX(0,E8-E43)</f>
        <v>2956</v>
      </c>
      <c r="F46" s="35" t="n">
        <f aca="false">MAX(0,F8-F43)</f>
        <v>5309</v>
      </c>
      <c r="G46" s="35" t="n">
        <f aca="false">MAX(0,G8-G43)</f>
        <v>10348</v>
      </c>
      <c r="H46" s="35" t="n">
        <f aca="false">MAX(0,H8-H43)</f>
        <v>8264</v>
      </c>
    </row>
    <row r="47" customFormat="false" ht="15" hidden="false" customHeight="false" outlineLevel="0" collapsed="false">
      <c r="B47" s="0" t="s">
        <v>508</v>
      </c>
      <c r="C47" s="36" t="n">
        <f aca="false">IF(C8=0,0,C9*C46/C8)</f>
        <v>0</v>
      </c>
      <c r="D47" s="36" t="n">
        <f aca="false">IF(D8=0,0,D9*D46/D8)</f>
        <v>0</v>
      </c>
      <c r="E47" s="36" t="n">
        <f aca="false">IF(E8=0,0,E9*E46/E8)</f>
        <v>2.01419172932331</v>
      </c>
      <c r="F47" s="36" t="n">
        <f aca="false">IF(F8=0,0,F9*F46/F8)</f>
        <v>13.2261764351908</v>
      </c>
      <c r="G47" s="36" t="n">
        <f aca="false">IF(G8=0,0,G9*G46/G8)</f>
        <v>39.072460293677</v>
      </c>
      <c r="H47" s="36" t="n">
        <f aca="false">IF(H8=0,0,H9*H46/H8)</f>
        <v>36.2067831566886</v>
      </c>
    </row>
    <row r="48" customFormat="false" ht="15" hidden="false" customHeight="false" outlineLevel="0" collapsed="false">
      <c r="B48" s="0" t="s">
        <v>509</v>
      </c>
      <c r="C48" s="36" t="n">
        <f aca="false">C47*Inputs!$D$16/1000</f>
        <v>0</v>
      </c>
      <c r="D48" s="36" t="n">
        <f aca="false">D47*Inputs!$D$16/1000</f>
        <v>0</v>
      </c>
      <c r="E48" s="36" t="n">
        <f aca="false">E47*Inputs!$D$16/1000</f>
        <v>3.13318713450292</v>
      </c>
      <c r="F48" s="36" t="n">
        <f aca="false">F47*Inputs!$D$16/1000</f>
        <v>20.574052232519</v>
      </c>
      <c r="G48" s="36" t="n">
        <f aca="false">G47*Inputs!$D$16/1000</f>
        <v>60.779382679053</v>
      </c>
      <c r="H48" s="36" t="n">
        <f aca="false">H47*Inputs!$D$16/1000</f>
        <v>56.3216626881823</v>
      </c>
    </row>
    <row r="49" customFormat="false" ht="15" hidden="false" customHeight="false" outlineLevel="0" collapsed="false">
      <c r="B49" s="0" t="s">
        <v>510</v>
      </c>
      <c r="C49" s="36" t="n">
        <f aca="false">C44*'Start here'!$C$14/1000000</f>
        <v>0</v>
      </c>
      <c r="D49" s="36" t="n">
        <f aca="false">D44*'Start here'!$C$14/1000000</f>
        <v>0</v>
      </c>
      <c r="E49" s="36" t="n">
        <f aca="false">E44*'Start here'!$C$14/1000000</f>
        <v>0</v>
      </c>
      <c r="F49" s="36" t="n">
        <f aca="false">F44*'Start here'!$C$14/1000000</f>
        <v>0</v>
      </c>
      <c r="G49" s="36" t="n">
        <f aca="false">G44*'Start here'!$C$14/1000000</f>
        <v>0</v>
      </c>
      <c r="H49" s="36" t="n">
        <f aca="false">H44*'Start here'!$C$14/1000000</f>
        <v>0</v>
      </c>
    </row>
    <row r="50" customFormat="false" ht="15" hidden="false" customHeight="false" outlineLevel="0" collapsed="false">
      <c r="B50" s="0" t="s">
        <v>511</v>
      </c>
      <c r="C50" s="36" t="n">
        <f aca="false">C45*(Inputs!$D$17+Inputs!$D$18)/2*12/1000000000</f>
        <v>0</v>
      </c>
      <c r="D50" s="36" t="n">
        <f aca="false">D45*(Inputs!$D$17+Inputs!$D$18)/2*12/1000000000</f>
        <v>0</v>
      </c>
      <c r="E50" s="36" t="n">
        <f aca="false">E45*(Inputs!$D$17+Inputs!$D$18)/2*12/1000000000</f>
        <v>0</v>
      </c>
      <c r="F50" s="36" t="n">
        <f aca="false">F45*(Inputs!$D$17+Inputs!$D$18)/2*12/1000000000</f>
        <v>0</v>
      </c>
      <c r="G50" s="36" t="n">
        <f aca="false">G45*(Inputs!$D$17+Inputs!$D$18)/2*12/1000000000</f>
        <v>0</v>
      </c>
      <c r="H50" s="36" t="n">
        <f aca="false">H45*(Inputs!$D$17+Inputs!$D$18)/2*12/1000000000</f>
        <v>0</v>
      </c>
    </row>
    <row r="51" customFormat="false" ht="15" hidden="false" customHeight="false" outlineLevel="0" collapsed="false">
      <c r="B51" s="0" t="s">
        <v>512</v>
      </c>
      <c r="C51" s="37" t="n">
        <f aca="false">(C49+C50)*1000000000*Inputs!$D$53/(Inputs!$D$22*1000000000)/Inputs!$D$61</f>
        <v>0</v>
      </c>
      <c r="D51" s="37" t="n">
        <f aca="false">(D49+D50)*1000000000*Inputs!$D$53/(Inputs!$D$22*1000000000)/Inputs!$D$61</f>
        <v>0</v>
      </c>
      <c r="E51" s="37" t="n">
        <f aca="false">(E49+E50)*1000000000*Inputs!$D$53/(Inputs!$D$22*1000000000)/Inputs!$D$61</f>
        <v>0</v>
      </c>
      <c r="F51" s="37" t="n">
        <f aca="false">(F49+F50)*1000000000*Inputs!$D$53/(Inputs!$D$22*1000000000)/Inputs!$D$61</f>
        <v>0</v>
      </c>
      <c r="G51" s="37" t="n">
        <f aca="false">(G49+G50)*1000000000*Inputs!$D$53/(Inputs!$D$22*1000000000)/Inputs!$D$61</f>
        <v>0</v>
      </c>
      <c r="H51" s="37" t="n">
        <f aca="false">(H49+H50)*1000000000*Inputs!$D$53/(Inputs!$D$22*1000000000)/Inputs!$D$61</f>
        <v>0</v>
      </c>
    </row>
    <row r="52" customFormat="false" ht="15" hidden="false" customHeight="false" outlineLevel="0" collapsed="false">
      <c r="B52" s="0" t="s">
        <v>513</v>
      </c>
      <c r="C52" s="35" t="n">
        <f aca="false">SUMPRODUCT(($D$14:$D$25&lt;=C$4+0)*($F$14:$F$25&lt;=2)*$G$14:$G$25*$C$14:$C$25)</f>
        <v>0</v>
      </c>
      <c r="D52" s="35" t="n">
        <f aca="false">SUMPRODUCT(($D$14:$D$25&lt;=D$4+0)*($F$14:$F$25&lt;=2)*$G$14:$G$25*$C$14:$C$25)</f>
        <v>0</v>
      </c>
      <c r="E52" s="35" t="n">
        <f aca="false">SUMPRODUCT(($D$14:$D$25&lt;=E$4+0)*($F$14:$F$25&lt;=2)*$G$14:$G$25*$C$14:$C$25)</f>
        <v>1894</v>
      </c>
      <c r="F52" s="35" t="n">
        <f aca="false">SUMPRODUCT(($D$14:$D$25&lt;=F$4+0)*($F$14:$F$25&lt;=2)*$G$14:$G$25*$C$14:$C$25)</f>
        <v>5713.5</v>
      </c>
      <c r="G52" s="35" t="n">
        <f aca="false">SUMPRODUCT(($D$14:$D$25&lt;=G$4+0)*($F$14:$F$25&lt;=2)*$G$14:$G$25*$C$14:$C$25)</f>
        <v>6658.5</v>
      </c>
      <c r="H52" s="35" t="n">
        <f aca="false">SUMPRODUCT(($D$14:$D$25&lt;=H$4+0)*($F$14:$F$25&lt;=2)*$G$14:$G$25*$C$14:$C$25)</f>
        <v>10303.5</v>
      </c>
    </row>
    <row r="54" customFormat="false" ht="15" hidden="false" customHeight="false" outlineLevel="0" collapsed="false">
      <c r="B54" s="2" t="s">
        <v>515</v>
      </c>
    </row>
    <row r="55" customFormat="false" ht="15" hidden="false" customHeight="false" outlineLevel="0" collapsed="false">
      <c r="B55" s="0" t="s">
        <v>504</v>
      </c>
      <c r="C55" s="35" t="n">
        <f aca="false">SUMPRODUCT(($D$14:$D$25&lt;=C$4+0)*($E$14:$E$25=0)*($F$14:$F$25&lt;=3)*$G$14:$G$25*$C$14:$C$25)</f>
        <v>0</v>
      </c>
      <c r="D55" s="35" t="n">
        <f aca="false">SUMPRODUCT(($D$14:$D$25&lt;=D$4+0)*($E$14:$E$25=0)*($F$14:$F$25&lt;=3)*$G$14:$G$25*$C$14:$C$25)</f>
        <v>0</v>
      </c>
      <c r="E55" s="35" t="n">
        <f aca="false">SUMPRODUCT(($D$14:$D$25&lt;=E$4+0)*($E$14:$E$25=0)*($F$14:$F$25&lt;=3)*$G$14:$G$25*$C$14:$C$25)</f>
        <v>4100</v>
      </c>
      <c r="F55" s="35" t="n">
        <f aca="false">SUMPRODUCT(($D$14:$D$25&lt;=F$4+0)*($E$14:$E$25=0)*($F$14:$F$25&lt;=3)*$G$14:$G$25*$C$14:$C$25)</f>
        <v>5800</v>
      </c>
      <c r="G55" s="35" t="n">
        <f aca="false">SUMPRODUCT(($D$14:$D$25&lt;=G$4+0)*($E$14:$E$25=0)*($F$14:$F$25&lt;=3)*$G$14:$G$25*$C$14:$C$25)</f>
        <v>5800</v>
      </c>
      <c r="H55" s="35" t="n">
        <f aca="false">SUMPRODUCT(($D$14:$D$25&lt;=H$4+0)*($E$14:$E$25=0)*($F$14:$F$25&lt;=3)*$G$14:$G$25*$C$14:$C$25)</f>
        <v>8500</v>
      </c>
    </row>
    <row r="56" customFormat="false" ht="15" hidden="false" customHeight="false" outlineLevel="0" collapsed="false">
      <c r="B56" s="0" t="s">
        <v>505</v>
      </c>
      <c r="C56" s="35" t="n">
        <f aca="false">SUMPRODUCT(($D$14:$D$25&lt;=C$4+0)*($F$14:$F$25&lt;=3)*($H$14:$H$25="LNG")*$C$14:$C$25)</f>
        <v>0</v>
      </c>
      <c r="D56" s="35" t="n">
        <f aca="false">SUMPRODUCT(($D$14:$D$25&lt;=D$4+0)*($F$14:$F$25&lt;=3)*($H$14:$H$25="LNG")*$C$14:$C$25)</f>
        <v>0</v>
      </c>
      <c r="E56" s="35" t="n">
        <f aca="false">SUMPRODUCT(($D$14:$D$25&lt;=E$4+0)*($F$14:$F$25&lt;=3)*($H$14:$H$25="LNG")*$C$14:$C$25)</f>
        <v>0</v>
      </c>
      <c r="F56" s="35" t="n">
        <f aca="false">SUMPRODUCT(($D$14:$D$25&lt;=F$4+0)*($F$14:$F$25&lt;=3)*($H$14:$H$25="LNG")*$C$14:$C$25)</f>
        <v>1200</v>
      </c>
      <c r="G56" s="35" t="n">
        <f aca="false">SUMPRODUCT(($D$14:$D$25&lt;=G$4+0)*($F$14:$F$25&lt;=3)*($H$14:$H$25="LNG")*$C$14:$C$25)</f>
        <v>1200</v>
      </c>
      <c r="H56" s="35" t="n">
        <f aca="false">SUMPRODUCT(($D$14:$D$25&lt;=H$4+0)*($F$14:$F$25&lt;=3)*($H$14:$H$25="LNG")*$C$14:$C$25)</f>
        <v>4200</v>
      </c>
    </row>
    <row r="57" customFormat="false" ht="15" hidden="false" customHeight="false" outlineLevel="0" collapsed="false">
      <c r="B57" s="0" t="s">
        <v>506</v>
      </c>
      <c r="C57" s="35" t="n">
        <f aca="false">SUMPRODUCT(($D$14:$D$25&lt;=C$4+0)*($F$14:$F$25&lt;=3)*($H$14:$H$25="Storage")*$C$14:$C$25)</f>
        <v>0</v>
      </c>
      <c r="D57" s="35" t="n">
        <f aca="false">SUMPRODUCT(($D$14:$D$25&lt;=D$4+0)*($F$14:$F$25&lt;=3)*($H$14:$H$25="Storage")*$C$14:$C$25)</f>
        <v>0</v>
      </c>
      <c r="E57" s="35" t="n">
        <f aca="false">SUMPRODUCT(($D$14:$D$25&lt;=E$4+0)*($F$14:$F$25&lt;=3)*($H$14:$H$25="Storage")*$C$14:$C$25)</f>
        <v>2800</v>
      </c>
      <c r="F57" s="35" t="n">
        <f aca="false">SUMPRODUCT(($D$14:$D$25&lt;=F$4+0)*($F$14:$F$25&lt;=3)*($H$14:$H$25="Storage")*$C$14:$C$25)</f>
        <v>2800</v>
      </c>
      <c r="G57" s="35" t="n">
        <f aca="false">SUMPRODUCT(($D$14:$D$25&lt;=G$4+0)*($F$14:$F$25&lt;=3)*($H$14:$H$25="Storage")*$C$14:$C$25)</f>
        <v>2800</v>
      </c>
      <c r="H57" s="35" t="n">
        <f aca="false">SUMPRODUCT(($D$14:$D$25&lt;=H$4+0)*($F$14:$F$25&lt;=3)*($H$14:$H$25="Storage")*$C$14:$C$25)</f>
        <v>2800</v>
      </c>
    </row>
    <row r="58" customFormat="false" ht="15" hidden="false" customHeight="false" outlineLevel="0" collapsed="false">
      <c r="B58" s="0" t="s">
        <v>507</v>
      </c>
      <c r="C58" s="35" t="n">
        <f aca="false">MAX(0,C8-C55)</f>
        <v>0</v>
      </c>
      <c r="D58" s="35" t="n">
        <f aca="false">MAX(0,D8-D55)</f>
        <v>0</v>
      </c>
      <c r="E58" s="35" t="n">
        <f aca="false">MAX(0,E8-E55)</f>
        <v>156</v>
      </c>
      <c r="F58" s="35" t="n">
        <f aca="false">MAX(0,F8-F55)</f>
        <v>2509</v>
      </c>
      <c r="G58" s="35" t="n">
        <f aca="false">MAX(0,G8-G55)</f>
        <v>7548</v>
      </c>
      <c r="H58" s="35" t="n">
        <f aca="false">MAX(0,H8-H55)</f>
        <v>5464</v>
      </c>
    </row>
    <row r="59" customFormat="false" ht="15" hidden="false" customHeight="false" outlineLevel="0" collapsed="false">
      <c r="B59" s="0" t="s">
        <v>508</v>
      </c>
      <c r="C59" s="36" t="n">
        <f aca="false">IF(C8=0,0,C9*C58/C8)</f>
        <v>0</v>
      </c>
      <c r="D59" s="36" t="n">
        <f aca="false">IF(D8=0,0,D9*D58/D8)</f>
        <v>0</v>
      </c>
      <c r="E59" s="36" t="n">
        <f aca="false">IF(E8=0,0,E9*E58/E8)</f>
        <v>0.106296992481203</v>
      </c>
      <c r="F59" s="36" t="n">
        <f aca="false">IF(F8=0,0,F9*F58/F8)</f>
        <v>6.25060777470213</v>
      </c>
      <c r="G59" s="36" t="n">
        <f aca="false">IF(G8=0,0,G9*G58/G8)</f>
        <v>28.5000899011088</v>
      </c>
      <c r="H59" s="36" t="n">
        <f aca="false">IF(H8=0,0,H9*H58/H8)</f>
        <v>23.939238040676</v>
      </c>
    </row>
    <row r="60" customFormat="false" ht="15" hidden="false" customHeight="false" outlineLevel="0" collapsed="false">
      <c r="B60" s="0" t="s">
        <v>509</v>
      </c>
      <c r="C60" s="36" t="n">
        <f aca="false">C59*Inputs!$D$16/1000</f>
        <v>0</v>
      </c>
      <c r="D60" s="36" t="n">
        <f aca="false">D59*Inputs!$D$16/1000</f>
        <v>0</v>
      </c>
      <c r="E60" s="36" t="n">
        <f aca="false">E59*Inputs!$D$16/1000</f>
        <v>0.165350877192982</v>
      </c>
      <c r="F60" s="36" t="n">
        <f aca="false">F59*Inputs!$D$16/1000</f>
        <v>9.72316764953665</v>
      </c>
      <c r="G60" s="36" t="n">
        <f aca="false">G59*Inputs!$D$16/1000</f>
        <v>44.3334731795026</v>
      </c>
      <c r="H60" s="36" t="n">
        <f aca="false">H59*Inputs!$D$16/1000</f>
        <v>37.2388147299405</v>
      </c>
    </row>
    <row r="61" customFormat="false" ht="15" hidden="false" customHeight="false" outlineLevel="0" collapsed="false">
      <c r="B61" s="0" t="s">
        <v>510</v>
      </c>
      <c r="C61" s="36" t="n">
        <f aca="false">C56*'Start here'!$C$14/1000000</f>
        <v>0</v>
      </c>
      <c r="D61" s="36" t="n">
        <f aca="false">D56*'Start here'!$C$14/1000000</f>
        <v>0</v>
      </c>
      <c r="E61" s="36" t="n">
        <f aca="false">E56*'Start here'!$C$14/1000000</f>
        <v>0</v>
      </c>
      <c r="F61" s="36" t="n">
        <f aca="false">F56*'Start here'!$C$14/1000000</f>
        <v>0.21</v>
      </c>
      <c r="G61" s="36" t="n">
        <f aca="false">G56*'Start here'!$C$14/1000000</f>
        <v>0.21</v>
      </c>
      <c r="H61" s="36" t="n">
        <f aca="false">H56*'Start here'!$C$14/1000000</f>
        <v>0.735</v>
      </c>
    </row>
    <row r="62" customFormat="false" ht="15" hidden="false" customHeight="false" outlineLevel="0" collapsed="false">
      <c r="B62" s="0" t="s">
        <v>511</v>
      </c>
      <c r="C62" s="36" t="n">
        <f aca="false">C57*(Inputs!$D$17+Inputs!$D$18)/2*12/1000000000</f>
        <v>0</v>
      </c>
      <c r="D62" s="36" t="n">
        <f aca="false">D57*(Inputs!$D$17+Inputs!$D$18)/2*12/1000000000</f>
        <v>0</v>
      </c>
      <c r="E62" s="36" t="n">
        <f aca="false">E57*(Inputs!$D$17+Inputs!$D$18)/2*12/1000000000</f>
        <v>0.0756</v>
      </c>
      <c r="F62" s="36" t="n">
        <f aca="false">F57*(Inputs!$D$17+Inputs!$D$18)/2*12/1000000000</f>
        <v>0.0756</v>
      </c>
      <c r="G62" s="36" t="n">
        <f aca="false">G57*(Inputs!$D$17+Inputs!$D$18)/2*12/1000000000</f>
        <v>0.0756</v>
      </c>
      <c r="H62" s="36" t="n">
        <f aca="false">H57*(Inputs!$D$17+Inputs!$D$18)/2*12/1000000000</f>
        <v>0.0756</v>
      </c>
    </row>
    <row r="63" customFormat="false" ht="15" hidden="false" customHeight="false" outlineLevel="0" collapsed="false">
      <c r="B63" s="0" t="s">
        <v>512</v>
      </c>
      <c r="C63" s="37" t="n">
        <f aca="false">(C61+C62)*1000000000*Inputs!$D$53/(Inputs!$D$22*1000000000)/Inputs!$D$61</f>
        <v>0</v>
      </c>
      <c r="D63" s="37" t="n">
        <f aca="false">(D61+D62)*1000000000*Inputs!$D$53/(Inputs!$D$22*1000000000)/Inputs!$D$61</f>
        <v>0</v>
      </c>
      <c r="E63" s="37" t="n">
        <f aca="false">(E61+E62)*1000000000*Inputs!$D$53/(Inputs!$D$22*1000000000)/Inputs!$D$61</f>
        <v>0.00320747320655201</v>
      </c>
      <c r="F63" s="37" t="n">
        <f aca="false">(F61+F62)*1000000000*Inputs!$D$53/(Inputs!$D$22*1000000000)/Inputs!$D$61</f>
        <v>0.0121171210025298</v>
      </c>
      <c r="G63" s="37" t="n">
        <f aca="false">(G61+G62)*1000000000*Inputs!$D$53/(Inputs!$D$22*1000000000)/Inputs!$D$61</f>
        <v>0.0121171210025298</v>
      </c>
      <c r="H63" s="37" t="n">
        <f aca="false">(H61+H62)*1000000000*Inputs!$D$53/(Inputs!$D$22*1000000000)/Inputs!$D$61</f>
        <v>0.0343912404924743</v>
      </c>
    </row>
    <row r="64" customFormat="false" ht="15" hidden="false" customHeight="false" outlineLevel="0" collapsed="false">
      <c r="B64" s="0" t="s">
        <v>513</v>
      </c>
      <c r="C64" s="35" t="n">
        <f aca="false">SUMPRODUCT(($D$14:$D$25&lt;=C$4+0)*($F$14:$F$25&lt;=3)*$G$14:$G$25*$C$14:$C$25)</f>
        <v>0</v>
      </c>
      <c r="D64" s="35" t="n">
        <f aca="false">SUMPRODUCT(($D$14:$D$25&lt;=D$4+0)*($F$14:$F$25&lt;=3)*$G$14:$G$25*$C$14:$C$25)</f>
        <v>0</v>
      </c>
      <c r="E64" s="35" t="n">
        <f aca="false">SUMPRODUCT(($D$14:$D$25&lt;=E$4+0)*($F$14:$F$25&lt;=3)*$G$14:$G$25*$C$14:$C$25)</f>
        <v>4694</v>
      </c>
      <c r="F64" s="35" t="n">
        <f aca="false">SUMPRODUCT(($D$14:$D$25&lt;=F$4+0)*($F$14:$F$25&lt;=3)*$G$14:$G$25*$C$14:$C$25)</f>
        <v>8513.5</v>
      </c>
      <c r="G64" s="35" t="n">
        <f aca="false">SUMPRODUCT(($D$14:$D$25&lt;=G$4+0)*($F$14:$F$25&lt;=3)*$G$14:$G$25*$C$14:$C$25)</f>
        <v>9458.5</v>
      </c>
      <c r="H64" s="35" t="n">
        <f aca="false">SUMPRODUCT(($D$14:$D$25&lt;=H$4+0)*($F$14:$F$25&lt;=3)*$G$14:$G$25*$C$14:$C$25)</f>
        <v>13103.5</v>
      </c>
    </row>
    <row r="66" customFormat="false" ht="15" hidden="false" customHeight="false" outlineLevel="0" collapsed="false">
      <c r="B66" s="7" t="s">
        <v>516</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1:E3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2" min="2" style="0" width="60"/>
    <col collapsed="false" customWidth="true" hidden="false" outlineLevel="0" max="4" min="3" style="0" width="14"/>
    <col collapsed="false" customWidth="true" hidden="false" outlineLevel="0" max="5" min="5" style="0" width="70"/>
  </cols>
  <sheetData>
    <row r="1" customFormat="false" ht="15" hidden="false" customHeight="false" outlineLevel="0" collapsed="false">
      <c r="B1" s="7" t="s">
        <v>456</v>
      </c>
    </row>
    <row r="2" customFormat="false" ht="15" hidden="false" customHeight="false" outlineLevel="0" collapsed="false">
      <c r="B2" s="1" t="s">
        <v>517</v>
      </c>
    </row>
    <row r="4" customFormat="false" ht="15" hidden="false" customHeight="false" outlineLevel="0" collapsed="false">
      <c r="B4" s="8" t="s">
        <v>518</v>
      </c>
      <c r="C4" s="8" t="s">
        <v>164</v>
      </c>
      <c r="D4" s="8" t="s">
        <v>286</v>
      </c>
      <c r="E4" s="8" t="s">
        <v>519</v>
      </c>
    </row>
    <row r="5" customFormat="false" ht="15" hidden="false" customHeight="false" outlineLevel="0" collapsed="false">
      <c r="B5" s="5" t="s">
        <v>313</v>
      </c>
      <c r="C5" s="32" t="n">
        <f aca="false">Inputs!$D$66/Inputs!$D$53*1000</f>
        <v>47.5775267268178</v>
      </c>
      <c r="D5" s="21" t="n">
        <f aca="false">Inputs!$D$66</f>
        <v>1255</v>
      </c>
      <c r="E5" s="4" t="s">
        <v>520</v>
      </c>
    </row>
    <row r="6" customFormat="false" ht="15" hidden="false" customHeight="false" outlineLevel="0" collapsed="false">
      <c r="B6" s="5" t="s">
        <v>521</v>
      </c>
      <c r="C6" s="32" t="n">
        <f aca="false">Inputs!$D$14/(Inputs!$D$71*4.1868/3600*Inputs!$D$72)</f>
        <v>40.8803608332956</v>
      </c>
      <c r="D6" s="21" t="n">
        <f aca="false">C6/1000*Inputs!$D$53</f>
        <v>1078.34215806067</v>
      </c>
      <c r="E6" s="4" t="s">
        <v>522</v>
      </c>
    </row>
    <row r="7" customFormat="false" ht="15" hidden="false" customHeight="false" outlineLevel="0" collapsed="false">
      <c r="B7" s="5" t="s">
        <v>523</v>
      </c>
      <c r="C7" s="32" t="n">
        <f aca="false">Inputs!$D$15/(Inputs!$D$71*4.1868/3600*Inputs!$D$72)</f>
        <v>57.4361527205805</v>
      </c>
      <c r="D7" s="21" t="n">
        <f aca="false">C7/1000*Inputs!$D$53</f>
        <v>1515.05083646347</v>
      </c>
      <c r="E7" s="4" t="s">
        <v>524</v>
      </c>
    </row>
    <row r="8" customFormat="false" ht="15" hidden="false" customHeight="false" outlineLevel="0" collapsed="false">
      <c r="B8" s="5" t="s">
        <v>525</v>
      </c>
      <c r="C8" s="32" t="n">
        <f aca="false">Inputs!$D$63/Inputs!$D$53*1000</f>
        <v>79.3350519372204</v>
      </c>
      <c r="D8" s="21" t="n">
        <f aca="false">Inputs!$D$63</f>
        <v>2092.7</v>
      </c>
      <c r="E8" s="4" t="s">
        <v>526</v>
      </c>
    </row>
    <row r="9" customFormat="false" ht="15" hidden="false" customHeight="false" outlineLevel="0" collapsed="false">
      <c r="B9" s="5" t="s">
        <v>527</v>
      </c>
      <c r="C9" s="32" t="n">
        <f aca="false">Inputs!$D$61/Inputs!$D$53*1000</f>
        <v>81.8827697323527</v>
      </c>
      <c r="D9" s="21" t="n">
        <f aca="false">Inputs!$D$61</f>
        <v>2159.9037</v>
      </c>
      <c r="E9" s="4" t="s">
        <v>528</v>
      </c>
    </row>
    <row r="10" customFormat="false" ht="15" hidden="false" customHeight="false" outlineLevel="0" collapsed="false">
      <c r="B10" s="5" t="s">
        <v>529</v>
      </c>
      <c r="C10" s="32" t="n">
        <f aca="false">Inputs!$D$64/Inputs!$D$53*1000</f>
        <v>92.6563803169308</v>
      </c>
      <c r="D10" s="21" t="n">
        <f aca="false">Inputs!$D$64</f>
        <v>2444.09</v>
      </c>
      <c r="E10" s="4" t="s">
        <v>530</v>
      </c>
    </row>
    <row r="11" customFormat="false" ht="15" hidden="false" customHeight="false" outlineLevel="0" collapsed="false">
      <c r="B11" s="5" t="s">
        <v>531</v>
      </c>
      <c r="C11" s="32" t="n">
        <f aca="false">Inputs!$D$58/Inputs!$D$53*1000</f>
        <v>98.2201076654788</v>
      </c>
      <c r="D11" s="21" t="n">
        <f aca="false">Inputs!$D$58</f>
        <v>2590.85</v>
      </c>
      <c r="E11" s="4" t="s">
        <v>532</v>
      </c>
    </row>
    <row r="12" customFormat="false" ht="15" hidden="false" customHeight="false" outlineLevel="0" collapsed="false">
      <c r="B12" s="5" t="s">
        <v>533</v>
      </c>
      <c r="C12" s="32" t="n">
        <f aca="false">Inputs!$D$68/Inputs!$D$53*1000</f>
        <v>108.044582606718</v>
      </c>
      <c r="D12" s="21" t="n">
        <f aca="false">Inputs!$D$68</f>
        <v>2850</v>
      </c>
      <c r="E12" s="4" t="s">
        <v>534</v>
      </c>
    </row>
    <row r="13" customFormat="false" ht="15" hidden="false" customHeight="false" outlineLevel="0" collapsed="false">
      <c r="B13" s="5" t="s">
        <v>535</v>
      </c>
      <c r="C13" s="32" t="n">
        <f aca="false">Inputs!$D$57/Inputs!$D$53*1000</f>
        <v>129.298657972553</v>
      </c>
      <c r="D13" s="21" t="n">
        <f aca="false">Inputs!$D$57</f>
        <v>3410.64</v>
      </c>
      <c r="E13" s="4" t="s">
        <v>536</v>
      </c>
    </row>
    <row r="14" customFormat="false" ht="15" hidden="false" customHeight="false" outlineLevel="0" collapsed="false">
      <c r="B14" s="5" t="s">
        <v>537</v>
      </c>
      <c r="C14" s="32" t="n">
        <f aca="false">Inputs!$D$69/Inputs!$D$53*1000</f>
        <v>136.477367503222</v>
      </c>
      <c r="D14" s="21" t="n">
        <f aca="false">Inputs!$D$69</f>
        <v>3600</v>
      </c>
      <c r="E14" s="4" t="s">
        <v>538</v>
      </c>
    </row>
    <row r="15" customFormat="false" ht="15" hidden="false" customHeight="false" outlineLevel="0" collapsed="false">
      <c r="B15" s="5" t="s">
        <v>539</v>
      </c>
      <c r="C15" s="32" t="n">
        <f aca="false">(10+Inputs!$D$56)*Inputs!$D$54/1000</f>
        <v>77.6649352</v>
      </c>
      <c r="D15" s="21" t="n">
        <f aca="false">C15/1000*Inputs!$D$53</f>
        <v>2048.6456607056</v>
      </c>
      <c r="E15" s="4" t="s">
        <v>540</v>
      </c>
    </row>
    <row r="16" customFormat="false" ht="15" hidden="false" customHeight="false" outlineLevel="0" collapsed="false">
      <c r="B16" s="5" t="s">
        <v>541</v>
      </c>
      <c r="C16" s="32" t="n">
        <f aca="false">(15+Inputs!$D$56)*Inputs!$D$54/1000</f>
        <v>110.3797352</v>
      </c>
      <c r="D16" s="21" t="n">
        <f aca="false">C16/1000*Inputs!$D$53</f>
        <v>2911.5966551056</v>
      </c>
      <c r="E16" s="4" t="s">
        <v>524</v>
      </c>
    </row>
    <row r="17" customFormat="false" ht="15" hidden="false" customHeight="false" outlineLevel="0" collapsed="false">
      <c r="B17" s="5" t="s">
        <v>542</v>
      </c>
      <c r="C17" s="32" t="n">
        <f aca="false">(Inputs!$D$13+Inputs!$D$56)*Inputs!$D$54/1000</f>
        <v>150.651654</v>
      </c>
      <c r="D17" s="21" t="n">
        <f aca="false">C17/1000*Inputs!$D$53</f>
        <v>3973.889329212</v>
      </c>
      <c r="E17" s="4" t="s">
        <v>543</v>
      </c>
    </row>
    <row r="18" customFormat="false" ht="15" hidden="false" customHeight="false" outlineLevel="0" collapsed="false">
      <c r="B18" s="5" t="s">
        <v>544</v>
      </c>
      <c r="C18" s="32" t="n">
        <f aca="false">(25+Inputs!$D$56)*Inputs!$D$54/1000</f>
        <v>175.8093352</v>
      </c>
      <c r="D18" s="21" t="n">
        <f aca="false">C18/1000*Inputs!$D$53</f>
        <v>4637.4986439056</v>
      </c>
      <c r="E18" s="4" t="s">
        <v>524</v>
      </c>
    </row>
    <row r="19" customFormat="false" ht="15" hidden="false" customHeight="false" outlineLevel="0" collapsed="false">
      <c r="B19" s="5" t="s">
        <v>545</v>
      </c>
      <c r="C19" s="32" t="n">
        <f aca="false">Inputs!$D$70/Inputs!$D$53*1000</f>
        <v>189.551899310031</v>
      </c>
      <c r="D19" s="21" t="n">
        <f aca="false">Inputs!$D$70</f>
        <v>5000</v>
      </c>
      <c r="E19" s="4" t="s">
        <v>546</v>
      </c>
    </row>
    <row r="20" customFormat="false" ht="15" hidden="false" customHeight="false" outlineLevel="0" collapsed="false">
      <c r="B20" s="5" t="s">
        <v>547</v>
      </c>
      <c r="C20" s="32" t="n">
        <f aca="false">(Inputs!$D$12+Inputs!$D$56)*Inputs!$D$54/1000</f>
        <v>218.2731456</v>
      </c>
      <c r="D20" s="21" t="n">
        <f aca="false">C20/1000*Inputs!$D$53</f>
        <v>5757.6090346368</v>
      </c>
      <c r="E20" s="4" t="s">
        <v>543</v>
      </c>
    </row>
    <row r="21" customFormat="false" ht="15" hidden="false" customHeight="false" outlineLevel="0" collapsed="false">
      <c r="B21" s="5" t="s">
        <v>548</v>
      </c>
      <c r="C21" s="32" t="n">
        <f aca="false">'Start here'!$C$18</f>
        <v>149.058397172553</v>
      </c>
      <c r="D21" s="21" t="n">
        <f aca="false">C21/1000*Inputs!$D$53</f>
        <v>3931.8624006176</v>
      </c>
      <c r="E21" s="4" t="s">
        <v>524</v>
      </c>
    </row>
    <row r="22" customFormat="false" ht="15" hidden="false" customHeight="false" outlineLevel="0" collapsed="false">
      <c r="B22" s="5" t="s">
        <v>549</v>
      </c>
      <c r="C22" s="32" t="n">
        <f aca="false">'Start here'!$C$17</f>
        <v>38.6786619725529</v>
      </c>
      <c r="D22" s="21" t="n">
        <f aca="false">C22/1000*Inputs!$D$53</f>
        <v>1020.265745512</v>
      </c>
      <c r="E22" s="4" t="s">
        <v>550</v>
      </c>
    </row>
    <row r="23" customFormat="false" ht="15" hidden="false" customHeight="false" outlineLevel="0" collapsed="false">
      <c r="B23" s="5" t="s">
        <v>551</v>
      </c>
      <c r="C23" s="31" t="n">
        <f aca="false">'Start here'!$C$17/(Inputs!$D$57/Inputs!$D$53*1000)</f>
        <v>0.29914202188211</v>
      </c>
      <c r="D23" s="21"/>
      <c r="E23" s="4" t="s">
        <v>552</v>
      </c>
    </row>
    <row r="25" customFormat="false" ht="15" hidden="false" customHeight="false" outlineLevel="0" collapsed="false">
      <c r="B25" s="2" t="s">
        <v>553</v>
      </c>
    </row>
    <row r="26" customFormat="false" ht="15" hidden="false" customHeight="false" outlineLevel="0" collapsed="false">
      <c r="B26" s="0" t="s">
        <v>554</v>
      </c>
      <c r="C26" s="32" t="n">
        <f aca="false">C15-C6</f>
        <v>36.7845743667044</v>
      </c>
    </row>
    <row r="27" customFormat="false" ht="15" hidden="false" customHeight="false" outlineLevel="0" collapsed="false">
      <c r="B27" s="0" t="s">
        <v>555</v>
      </c>
      <c r="C27" s="32" t="n">
        <f aca="false">C17-C7</f>
        <v>93.2155012794195</v>
      </c>
    </row>
    <row r="28" customFormat="false" ht="15" hidden="false" customHeight="false" outlineLevel="0" collapsed="false">
      <c r="B28" s="0" t="s">
        <v>556</v>
      </c>
      <c r="C28" s="32" t="n">
        <f aca="false">C20-C7</f>
        <v>160.83699287942</v>
      </c>
    </row>
    <row r="29" customFormat="false" ht="15" hidden="false" customHeight="false" outlineLevel="0" collapsed="false">
      <c r="B29" s="0" t="s">
        <v>557</v>
      </c>
      <c r="C29" s="38" t="n">
        <f aca="false">C20/C13</f>
        <v>1.68813156317782</v>
      </c>
    </row>
    <row r="31" customFormat="false" ht="15" hidden="false" customHeight="false" outlineLevel="0" collapsed="false">
      <c r="B31" s="7" t="s">
        <v>558</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1:F3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2" min="2" style="0" width="72"/>
    <col collapsed="false" customWidth="true" hidden="false" outlineLevel="0" max="5" min="3" style="0" width="18"/>
    <col collapsed="false" customWidth="true" hidden="false" outlineLevel="0" max="6" min="6" style="0" width="60"/>
  </cols>
  <sheetData>
    <row r="1" customFormat="false" ht="15" hidden="false" customHeight="false" outlineLevel="0" collapsed="false">
      <c r="B1" s="7" t="s">
        <v>456</v>
      </c>
    </row>
    <row r="2" customFormat="false" ht="15" hidden="false" customHeight="false" outlineLevel="0" collapsed="false">
      <c r="B2" s="1" t="s">
        <v>559</v>
      </c>
    </row>
    <row r="4" customFormat="false" ht="15" hidden="false" customHeight="false" outlineLevel="0" collapsed="false">
      <c r="B4" s="8" t="s">
        <v>560</v>
      </c>
      <c r="C4" s="8" t="s">
        <v>561</v>
      </c>
      <c r="D4" s="8" t="s">
        <v>562</v>
      </c>
      <c r="E4" s="8" t="s">
        <v>563</v>
      </c>
      <c r="F4" s="8" t="s">
        <v>101</v>
      </c>
    </row>
    <row r="5" customFormat="false" ht="15" hidden="false" customHeight="false" outlineLevel="0" collapsed="false">
      <c r="B5" s="5" t="s">
        <v>564</v>
      </c>
      <c r="C5" s="32" t="n">
        <f aca="false">Inputs!$D$76</f>
        <v>1000</v>
      </c>
      <c r="D5" s="32" t="n">
        <f aca="false">Inputs!$D$76</f>
        <v>1000</v>
      </c>
      <c r="E5" s="32" t="n">
        <f aca="false">Inputs!$D$76</f>
        <v>1000</v>
      </c>
      <c r="F5" s="4"/>
    </row>
    <row r="6" customFormat="false" ht="15" hidden="false" customHeight="false" outlineLevel="0" collapsed="false">
      <c r="B6" s="5" t="s">
        <v>565</v>
      </c>
      <c r="C6" s="32" t="n">
        <f aca="false">C5*8.76*Inputs!$D$7</f>
        <v>7446</v>
      </c>
      <c r="D6" s="32" t="n">
        <f aca="false">D5*8.76*Inputs!$D$7</f>
        <v>7446</v>
      </c>
      <c r="E6" s="32" t="n">
        <f aca="false">E5*8.76*Inputs!$D$7</f>
        <v>7446</v>
      </c>
      <c r="F6" s="4" t="s">
        <v>566</v>
      </c>
    </row>
    <row r="7" customFormat="false" ht="15" hidden="false" customHeight="false" outlineLevel="0" collapsed="false">
      <c r="B7" s="5" t="s">
        <v>567</v>
      </c>
      <c r="C7" s="39" t="n">
        <f aca="false">Inputs!$D$3</f>
        <v>0.65</v>
      </c>
      <c r="D7" s="39" t="n">
        <f aca="false">Inputs!$D$5</f>
        <v>0.75</v>
      </c>
      <c r="E7" s="39" t="n">
        <f aca="false">0</f>
        <v>0</v>
      </c>
      <c r="F7" s="4" t="s">
        <v>568</v>
      </c>
    </row>
    <row r="8" customFormat="false" ht="15" hidden="false" customHeight="false" outlineLevel="0" collapsed="false">
      <c r="B8" s="5" t="s">
        <v>569</v>
      </c>
      <c r="C8" s="32" t="n">
        <f aca="false">C6*C7</f>
        <v>4839.9</v>
      </c>
      <c r="D8" s="32" t="n">
        <f aca="false">D6*D7</f>
        <v>5584.5</v>
      </c>
      <c r="E8" s="32" t="n">
        <f aca="false">E6*E7</f>
        <v>0</v>
      </c>
      <c r="F8" s="4"/>
    </row>
    <row r="9" customFormat="false" ht="15" hidden="false" customHeight="false" outlineLevel="0" collapsed="false">
      <c r="B9" s="5" t="s">
        <v>570</v>
      </c>
      <c r="C9" s="32" t="n">
        <f aca="false">C5*8.76*Inputs!$D$8</f>
        <v>3328.8</v>
      </c>
      <c r="D9" s="32" t="n">
        <f aca="false">D5*8.76*Inputs!$D$8</f>
        <v>3328.8</v>
      </c>
      <c r="E9" s="32" t="n">
        <f aca="false">E5*8.76*Inputs!$D$8</f>
        <v>3328.8</v>
      </c>
      <c r="F9" s="4" t="s">
        <v>571</v>
      </c>
    </row>
    <row r="10" customFormat="false" ht="15" hidden="false" customHeight="false" outlineLevel="0" collapsed="false">
      <c r="B10" s="5" t="s">
        <v>572</v>
      </c>
      <c r="C10" s="32" t="n">
        <f aca="false">'Start here'!$C$18</f>
        <v>149.058397172553</v>
      </c>
      <c r="D10" s="32" t="n">
        <f aca="false">'Start here'!$C$18</f>
        <v>149.058397172553</v>
      </c>
      <c r="E10" s="32" t="n">
        <f aca="false">'Start here'!$C$18</f>
        <v>149.058397172553</v>
      </c>
      <c r="F10" s="4" t="s">
        <v>573</v>
      </c>
    </row>
    <row r="11" customFormat="false" ht="15" hidden="false" customHeight="false" outlineLevel="0" collapsed="false">
      <c r="B11" s="5" t="s">
        <v>574</v>
      </c>
      <c r="C11" s="32" t="n">
        <f aca="false">Inputs!$D$67/Inputs!$D$53*1000</f>
        <v>56.8655697930093</v>
      </c>
      <c r="D11" s="32" t="n">
        <f aca="false">Inputs!$D$67/Inputs!$D$53*1000</f>
        <v>56.8655697930093</v>
      </c>
      <c r="E11" s="32" t="n">
        <f aca="false">Inputs!$D$67/Inputs!$D$53*1000</f>
        <v>56.8655697930093</v>
      </c>
      <c r="F11" s="4"/>
    </row>
    <row r="12" customFormat="false" ht="15" hidden="false" customHeight="false" outlineLevel="0" collapsed="false">
      <c r="B12" s="5" t="s">
        <v>575</v>
      </c>
      <c r="C12" s="32" t="n">
        <f aca="false">C8*Inputs!$D$54/1000*Inputs!$D$9/1000</f>
        <v>26.9171812884</v>
      </c>
      <c r="D12" s="32" t="n">
        <f aca="false">D8*Inputs!$D$54/1000*Inputs!$D$9/1000</f>
        <v>31.058286102</v>
      </c>
      <c r="E12" s="32" t="n">
        <f aca="false">E9*Inputs!$D$54/1000*Inputs!$D$9/1000</f>
        <v>18.5131744608</v>
      </c>
      <c r="F12" s="4" t="s">
        <v>576</v>
      </c>
    </row>
    <row r="13" customFormat="false" ht="15" hidden="false" customHeight="false" outlineLevel="0" collapsed="false">
      <c r="B13" s="5" t="s">
        <v>577</v>
      </c>
      <c r="C13" s="32" t="n">
        <f aca="false">C9*Inputs!$D$54/1000/1000</f>
        <v>21.780205248</v>
      </c>
      <c r="D13" s="32" t="n">
        <f aca="false">D9*Inputs!$D$54/1000/1000</f>
        <v>21.780205248</v>
      </c>
      <c r="E13" s="32" t="n">
        <f aca="false">E9*Inputs!$D$54/1000/1000</f>
        <v>21.780205248</v>
      </c>
      <c r="F13" s="4"/>
    </row>
    <row r="14" customFormat="false" ht="15" hidden="false" customHeight="false" outlineLevel="0" collapsed="false">
      <c r="B14" s="5" t="s">
        <v>578</v>
      </c>
      <c r="C14" s="32" t="n">
        <f aca="false">MAX(0,C12-C13)</f>
        <v>5.1369760404</v>
      </c>
      <c r="D14" s="32" t="n">
        <f aca="false">MAX(0,D12-D13)</f>
        <v>9.278080854</v>
      </c>
      <c r="E14" s="32" t="n">
        <f aca="false">MAX(0,E12-E13)</f>
        <v>0</v>
      </c>
      <c r="F14" s="4"/>
    </row>
    <row r="15" customFormat="false" ht="15" hidden="false" customHeight="false" outlineLevel="0" collapsed="false">
      <c r="B15" s="5" t="s">
        <v>579</v>
      </c>
      <c r="C15" s="32" t="n">
        <f aca="false">C9*C10/1000</f>
        <v>496.185592507994</v>
      </c>
      <c r="D15" s="32" t="n">
        <f aca="false">D9*D10/1000</f>
        <v>496.185592507994</v>
      </c>
      <c r="E15" s="32" t="n">
        <f aca="false">E9*'Start here'!$C$15/1000</f>
        <v>367.43206253376</v>
      </c>
      <c r="F15" s="4" t="s">
        <v>580</v>
      </c>
    </row>
    <row r="16" customFormat="false" ht="15" hidden="false" customHeight="false" outlineLevel="0" collapsed="false">
      <c r="B16" s="5" t="s">
        <v>581</v>
      </c>
      <c r="C16" s="32" t="n">
        <f aca="false">MAX(0,C8-C9)*(C10-C11)/1000</f>
        <v>139.312581453228</v>
      </c>
      <c r="D16" s="32" t="n">
        <f aca="false">MAX(0,D8-D9)*(D10-D11)/1000</f>
        <v>207.959360720036</v>
      </c>
      <c r="E16" s="32" t="n">
        <f aca="false">0</f>
        <v>0</v>
      </c>
      <c r="F16" s="4" t="s">
        <v>582</v>
      </c>
    </row>
    <row r="17" customFormat="false" ht="15" hidden="false" customHeight="false" outlineLevel="0" collapsed="false">
      <c r="B17" s="5" t="s">
        <v>583</v>
      </c>
      <c r="C17" s="32" t="n">
        <f aca="false">0</f>
        <v>0</v>
      </c>
      <c r="D17" s="32" t="n">
        <f aca="false">0</f>
        <v>0</v>
      </c>
      <c r="E17" s="32" t="n">
        <f aca="false">E5*'Start here'!$C$14/1000</f>
        <v>175</v>
      </c>
      <c r="F17" s="4" t="s">
        <v>584</v>
      </c>
    </row>
    <row r="18" customFormat="false" ht="15" hidden="false" customHeight="false" outlineLevel="0" collapsed="false">
      <c r="B18" s="5" t="s">
        <v>585</v>
      </c>
      <c r="C18" s="32" t="n">
        <f aca="false">0</f>
        <v>0</v>
      </c>
      <c r="D18" s="32" t="n">
        <f aca="false">0</f>
        <v>0</v>
      </c>
      <c r="E18" s="32" t="n">
        <f aca="false">E14*'Start here'!$C$12</f>
        <v>0</v>
      </c>
      <c r="F18" s="4" t="s">
        <v>586</v>
      </c>
    </row>
    <row r="19" customFormat="false" ht="15" hidden="false" customHeight="false" outlineLevel="0" collapsed="false">
      <c r="B19" s="5" t="s">
        <v>587</v>
      </c>
      <c r="C19" s="32" t="n">
        <f aca="false">SUM(C15:C18)</f>
        <v>635.498173961222</v>
      </c>
      <c r="D19" s="32" t="n">
        <f aca="false">SUM(D15:D18)</f>
        <v>704.14495322803</v>
      </c>
      <c r="E19" s="32" t="n">
        <f aca="false">SUM(E15:E18)</f>
        <v>542.43206253376</v>
      </c>
      <c r="F19" s="4"/>
    </row>
    <row r="20" customFormat="false" ht="15" hidden="false" customHeight="false" outlineLevel="0" collapsed="false">
      <c r="B20" s="5" t="s">
        <v>588</v>
      </c>
      <c r="C20" s="32" t="n">
        <f aca="false">C9*C11/1000</f>
        <v>189.294108726969</v>
      </c>
      <c r="D20" s="32" t="n">
        <f aca="false">D9*D11/1000</f>
        <v>189.294108726969</v>
      </c>
      <c r="E20" s="32" t="n">
        <f aca="false">E9*E11/1000</f>
        <v>189.294108726969</v>
      </c>
      <c r="F20" s="4"/>
    </row>
    <row r="21" customFormat="false" ht="15" hidden="false" customHeight="false" outlineLevel="0" collapsed="false">
      <c r="B21" s="5" t="s">
        <v>589</v>
      </c>
      <c r="C21" s="32" t="n">
        <f aca="false">C19-C20</f>
        <v>446.204065234253</v>
      </c>
      <c r="D21" s="32" t="n">
        <f aca="false">D19-D20</f>
        <v>514.850844501061</v>
      </c>
      <c r="E21" s="32" t="n">
        <f aca="false">E19-E20</f>
        <v>353.137953806791</v>
      </c>
      <c r="F21" s="4" t="s">
        <v>590</v>
      </c>
    </row>
    <row r="22" customFormat="false" ht="15" hidden="false" customHeight="false" outlineLevel="0" collapsed="false">
      <c r="B22" s="5" t="s">
        <v>591</v>
      </c>
      <c r="C22" s="32" t="n">
        <f aca="false">C15+C16</f>
        <v>635.498173961222</v>
      </c>
      <c r="D22" s="32" t="n">
        <f aca="false">D15+D16</f>
        <v>704.14495322803</v>
      </c>
      <c r="E22" s="32" t="n">
        <f aca="false">E15+E16+E17+E18</f>
        <v>542.43206253376</v>
      </c>
      <c r="F22" s="4"/>
    </row>
    <row r="23" customFormat="false" ht="15" hidden="false" customHeight="false" outlineLevel="0" collapsed="false">
      <c r="B23" s="5" t="s">
        <v>592</v>
      </c>
      <c r="C23" s="32" t="n">
        <f aca="false">C13*'Start here'!$C$12</f>
        <v>367.43206253376</v>
      </c>
      <c r="D23" s="32" t="n">
        <f aca="false">D13*'Start here'!$C$12</f>
        <v>367.43206253376</v>
      </c>
      <c r="E23" s="32" t="n">
        <f aca="false">E13*'Start here'!$C$12</f>
        <v>367.43206253376</v>
      </c>
      <c r="F23" s="4"/>
    </row>
    <row r="24" customFormat="false" ht="15" hidden="false" customHeight="false" outlineLevel="0" collapsed="false">
      <c r="B24" s="5" t="s">
        <v>593</v>
      </c>
      <c r="C24" s="32" t="n">
        <f aca="false">C14*'Start here'!$C$12</f>
        <v>86.6607858015481</v>
      </c>
      <c r="D24" s="32" t="n">
        <f aca="false">D14*'Start here'!$C$12</f>
        <v>156.52122400698</v>
      </c>
      <c r="E24" s="32" t="n">
        <f aca="false">E14*'Start here'!$C$12</f>
        <v>0</v>
      </c>
      <c r="F24" s="4"/>
    </row>
    <row r="25" customFormat="false" ht="15" hidden="false" customHeight="false" outlineLevel="0" collapsed="false">
      <c r="B25" s="5" t="s">
        <v>594</v>
      </c>
      <c r="C25" s="32" t="n">
        <f aca="false">C5*'Start here'!$C$14/1000</f>
        <v>175</v>
      </c>
      <c r="D25" s="32" t="n">
        <f aca="false">D5*'Start here'!$C$14/1000</f>
        <v>175</v>
      </c>
      <c r="E25" s="32" t="n">
        <f aca="false">E5*'Start here'!$C$14/1000</f>
        <v>175</v>
      </c>
      <c r="F25" s="4"/>
    </row>
    <row r="26" customFormat="false" ht="15" hidden="false" customHeight="false" outlineLevel="0" collapsed="false">
      <c r="B26" s="5" t="s">
        <v>595</v>
      </c>
      <c r="C26" s="32" t="n">
        <f aca="false">C22-C23-C24-C25</f>
        <v>6.40532562591437</v>
      </c>
      <c r="D26" s="32" t="n">
        <f aca="false">D22-D23-D24-D25</f>
        <v>5.19166668729048</v>
      </c>
      <c r="E26" s="32" t="n">
        <f aca="false">E22-E23-E24-E25</f>
        <v>0</v>
      </c>
      <c r="F26" s="4" t="s">
        <v>596</v>
      </c>
    </row>
    <row r="27" customFormat="false" ht="15" hidden="false" customHeight="false" outlineLevel="0" collapsed="false">
      <c r="B27" s="5" t="s">
        <v>597</v>
      </c>
      <c r="C27" s="38" t="n">
        <f aca="false">IF(C25=0,0,(C22-C23-C24)/C25)</f>
        <v>1.03660186071951</v>
      </c>
      <c r="D27" s="38" t="n">
        <f aca="false">IF(D25=0,0,(D22-D23-D24)/D25)</f>
        <v>1.02966666678452</v>
      </c>
      <c r="E27" s="38" t="n">
        <f aca="false">IF(E25=0,0,(E22-E23-E24)/E25)</f>
        <v>1</v>
      </c>
      <c r="F27" s="4" t="s">
        <v>598</v>
      </c>
    </row>
    <row r="28" customFormat="false" ht="15" hidden="false" customHeight="false" outlineLevel="0" collapsed="false">
      <c r="B28" s="5" t="s">
        <v>599</v>
      </c>
      <c r="C28" s="32" t="n">
        <f aca="false">Inputs!$D$4</f>
        <v>10</v>
      </c>
      <c r="D28" s="32" t="n">
        <f aca="false">Inputs!$D$6</f>
        <v>15</v>
      </c>
      <c r="E28" s="32" t="n">
        <f aca="false">20</f>
        <v>20</v>
      </c>
      <c r="F28" s="4" t="s">
        <v>600</v>
      </c>
    </row>
    <row r="29" customFormat="false" ht="15" hidden="false" customHeight="false" outlineLevel="0" collapsed="false">
      <c r="B29" s="5" t="s">
        <v>601</v>
      </c>
      <c r="C29" s="38" t="n">
        <f aca="false">IF(C13=0,0,C12/C13)</f>
        <v>1.2358552631579</v>
      </c>
      <c r="D29" s="38" t="n">
        <f aca="false">IF(D13=0,0,D12/D13)</f>
        <v>1.42598684210526</v>
      </c>
      <c r="E29" s="38" t="n">
        <f aca="false">IF(E13=0,0,E12/E13)</f>
        <v>0.85</v>
      </c>
      <c r="F29" s="4" t="s">
        <v>602</v>
      </c>
    </row>
    <row r="31" customFormat="false" ht="15" hidden="false" customHeight="false" outlineLevel="0" collapsed="false">
      <c r="B31" s="7" t="s">
        <v>603</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1:I44"/>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2" min="2" style="0" width="14"/>
    <col collapsed="false" customWidth="true" hidden="false" outlineLevel="0" max="13" min="3" style="0" width="16"/>
  </cols>
  <sheetData>
    <row r="1" customFormat="false" ht="15" hidden="false" customHeight="false" outlineLevel="0" collapsed="false">
      <c r="B1" s="7" t="s">
        <v>456</v>
      </c>
    </row>
    <row r="2" customFormat="false" ht="15" hidden="false" customHeight="false" outlineLevel="0" collapsed="false">
      <c r="B2" s="1" t="s">
        <v>604</v>
      </c>
    </row>
    <row r="6" customFormat="false" ht="15" hidden="false" customHeight="false" outlineLevel="0" collapsed="false">
      <c r="B6" s="1" t="s">
        <v>605</v>
      </c>
    </row>
    <row r="7" customFormat="false" ht="31.5" hidden="false" customHeight="true" outlineLevel="0" collapsed="false">
      <c r="B7" s="40" t="s">
        <v>606</v>
      </c>
      <c r="C7" s="40" t="s">
        <v>607</v>
      </c>
      <c r="D7" s="40" t="s">
        <v>608</v>
      </c>
      <c r="E7" s="40" t="s">
        <v>609</v>
      </c>
      <c r="F7" s="40" t="s">
        <v>610</v>
      </c>
      <c r="G7" s="40" t="s">
        <v>611</v>
      </c>
      <c r="H7" s="40" t="s">
        <v>612</v>
      </c>
      <c r="I7" s="40" t="s">
        <v>613</v>
      </c>
    </row>
    <row r="8" customFormat="false" ht="15" hidden="false" customHeight="false" outlineLevel="0" collapsed="false">
      <c r="B8" s="5" t="s">
        <v>614</v>
      </c>
      <c r="C8" s="23" t="n">
        <v>4.2</v>
      </c>
      <c r="D8" s="6" t="n">
        <f aca="false">C8*Inputs!$D$10/1000</f>
        <v>0.735</v>
      </c>
      <c r="E8" s="6" t="n">
        <f aca="false">C8*Inputs!$D$11/1000</f>
        <v>1.20960553160004</v>
      </c>
      <c r="F8" s="31" t="n">
        <f aca="false">D8*1000000000*Inputs!$D$53/(Inputs!$D$22*1000000000)/Inputs!$D$61</f>
        <v>0.0311837672859223</v>
      </c>
      <c r="G8" s="31" t="n">
        <f aca="false">E8*1000000000*Inputs!$D$53/(Inputs!$D$22*1000000000)/Inputs!$D$61</f>
        <v>0.0513198059934422</v>
      </c>
      <c r="H8" s="31" t="n">
        <f aca="false">D8*1000000000*Inputs!$D$53/(Inputs!$D$108*1000000000)/Inputs!$D$61</f>
        <v>0.016017572115012</v>
      </c>
      <c r="I8" s="31" t="n">
        <f aca="false">E8*1000000000*Inputs!$D$53/(Inputs!$D$108*1000000000)/Inputs!$D$61</f>
        <v>0.0263604678001647</v>
      </c>
    </row>
    <row r="9" customFormat="false" ht="15" hidden="false" customHeight="false" outlineLevel="0" collapsed="false">
      <c r="B9" s="5" t="s">
        <v>615</v>
      </c>
      <c r="C9" s="23" t="n">
        <v>6</v>
      </c>
      <c r="D9" s="6" t="n">
        <f aca="false">C9*Inputs!$D$10/1000</f>
        <v>1.05</v>
      </c>
      <c r="E9" s="6" t="n">
        <f aca="false">C9*Inputs!$D$11/1000</f>
        <v>1.72800790228577</v>
      </c>
      <c r="F9" s="31" t="n">
        <f aca="false">D9*1000000000*Inputs!$D$53/(Inputs!$D$22*1000000000)/Inputs!$D$61</f>
        <v>0.044548238979889</v>
      </c>
      <c r="G9" s="31" t="n">
        <f aca="false">E9*1000000000*Inputs!$D$53/(Inputs!$D$22*1000000000)/Inputs!$D$61</f>
        <v>0.0733140085620602</v>
      </c>
      <c r="H9" s="31" t="n">
        <f aca="false">D9*1000000000*Inputs!$D$53/(Inputs!$D$108*1000000000)/Inputs!$D$61</f>
        <v>0.0228822458785886</v>
      </c>
      <c r="I9" s="31" t="n">
        <f aca="false">E9*1000000000*Inputs!$D$53/(Inputs!$D$108*1000000000)/Inputs!$D$61</f>
        <v>0.0376578111430925</v>
      </c>
    </row>
    <row r="10" customFormat="false" ht="15" hidden="false" customHeight="false" outlineLevel="0" collapsed="false">
      <c r="B10" s="5" t="s">
        <v>616</v>
      </c>
      <c r="C10" s="41" t="n">
        <f aca="false">Inputs!$D$106/1000</f>
        <v>22.524</v>
      </c>
      <c r="D10" s="6" t="n">
        <f aca="false">C10*Inputs!$D$10/1000</f>
        <v>3.9417</v>
      </c>
      <c r="E10" s="6" t="n">
        <f aca="false">C10*Inputs!$D$11/1000</f>
        <v>6.48694166518079</v>
      </c>
      <c r="F10" s="31" t="n">
        <f aca="false">D10*1000000000*Inputs!$D$53/(Inputs!$D$22*1000000000)/Inputs!$D$61</f>
        <v>0.167234089130503</v>
      </c>
      <c r="G10" s="31" t="n">
        <f aca="false">E10*1000000000*Inputs!$D$53/(Inputs!$D$22*1000000000)/Inputs!$D$61</f>
        <v>0.275220788141974</v>
      </c>
      <c r="H10" s="31" t="n">
        <f aca="false">D10*1000000000*Inputs!$D$53/(Inputs!$D$108*1000000000)/Inputs!$D$61</f>
        <v>0.0858999510282216</v>
      </c>
      <c r="I10" s="31" t="n">
        <f aca="false">E10*1000000000*Inputs!$D$53/(Inputs!$D$108*1000000000)/Inputs!$D$61</f>
        <v>0.141367423031169</v>
      </c>
    </row>
    <row r="11" customFormat="false" ht="15" hidden="false" customHeight="false" outlineLevel="0" collapsed="false">
      <c r="B11" s="0" t="s">
        <v>617</v>
      </c>
      <c r="C11" s="42" t="n">
        <f aca="false">Inputs!$D$19/1000</f>
        <v>2.8</v>
      </c>
      <c r="D11" s="43" t="n">
        <f aca="false">Inputs!$D$19*Inputs!$D$17*12/1000000000</f>
        <v>0.0672</v>
      </c>
      <c r="E11" s="43" t="n">
        <f aca="false">Inputs!$D$19*Inputs!$D$18*12/1000000000</f>
        <v>0.084</v>
      </c>
      <c r="F11" s="44" t="n">
        <f aca="false">D11*1000000000*Inputs!$D$53/(Inputs!$D$22*1000000000)/Inputs!$D$61</f>
        <v>0.00285108729471289</v>
      </c>
      <c r="G11" s="44" t="n">
        <f aca="false">E11*1000000000*Inputs!$D$53/(Inputs!$D$22*1000000000)/Inputs!$D$61</f>
        <v>0.00356385911839112</v>
      </c>
    </row>
    <row r="12" customFormat="false" ht="15" hidden="false" customHeight="false" outlineLevel="0" collapsed="false">
      <c r="B12" s="0" t="s">
        <v>618</v>
      </c>
      <c r="F12" s="45" t="n">
        <f aca="false">Inputs!$D$86</f>
        <v>0.17</v>
      </c>
    </row>
    <row r="14" customFormat="false" ht="15" hidden="false" customHeight="false" outlineLevel="0" collapsed="false">
      <c r="B14" s="1" t="s">
        <v>619</v>
      </c>
    </row>
    <row r="15" customFormat="false" ht="15" hidden="false" customHeight="false" outlineLevel="0" collapsed="false">
      <c r="B15" s="5" t="s">
        <v>620</v>
      </c>
      <c r="F15" s="6" t="n">
        <f aca="false">Inputs!$D$62-Inputs!$D$61</f>
        <v>44.1618000000003</v>
      </c>
    </row>
    <row r="16" customFormat="false" ht="15" hidden="false" customHeight="false" outlineLevel="0" collapsed="false">
      <c r="B16" s="5" t="s">
        <v>621</v>
      </c>
      <c r="F16" s="6" t="n">
        <f aca="false">(Inputs!$D$62-Inputs!$D$61)*Inputs!$D$22*1000000000*Inputs!$D$104/12/1000000000000</f>
        <v>5.29665588750004</v>
      </c>
    </row>
    <row r="17" customFormat="false" ht="15" hidden="false" customHeight="false" outlineLevel="0" collapsed="false">
      <c r="B17" s="5" t="s">
        <v>622</v>
      </c>
      <c r="F17" s="46" t="n">
        <f aca="false">(Inputs!$D$62-Inputs!$D$61)*Inputs!$D$22*1000000000*Inputs!$D$104/12/Inputs!$D$53/1000000000</f>
        <v>0.200798236693458</v>
      </c>
    </row>
    <row r="18" customFormat="false" ht="15" hidden="false" customHeight="false" outlineLevel="0" collapsed="false">
      <c r="B18" s="5" t="s">
        <v>623</v>
      </c>
      <c r="F18" s="31" t="n">
        <f aca="false">Inputs!$D$61/Inputs!$D$63-1</f>
        <v>0.0321133941797678</v>
      </c>
    </row>
    <row r="19" customFormat="false" ht="15" hidden="false" customHeight="false" outlineLevel="0" collapsed="false">
      <c r="B19" s="5" t="s">
        <v>624</v>
      </c>
      <c r="F19" s="32" t="n">
        <f aca="false">(Inputs!$D$68-Inputs!$D$67)/Inputs!$D$53*1000</f>
        <v>51.1790128137084</v>
      </c>
    </row>
    <row r="20" customFormat="false" ht="15" hidden="false" customHeight="false" outlineLevel="0" collapsed="false">
      <c r="B20" s="5" t="s">
        <v>625</v>
      </c>
      <c r="F20" s="32" t="n">
        <f aca="false">(Inputs!$D$69-Inputs!$D$67)/Inputs!$D$53*1000</f>
        <v>79.6117977102131</v>
      </c>
    </row>
    <row r="21" customFormat="false" ht="15" hidden="false" customHeight="false" outlineLevel="0" collapsed="false">
      <c r="B21" s="5" t="s">
        <v>626</v>
      </c>
      <c r="F21" s="6" t="n">
        <f aca="false">(Inputs!$D$68-Inputs!$D$67)*Inputs!$D$78*1000000000/1000000000000</f>
        <v>7.29</v>
      </c>
    </row>
    <row r="22" customFormat="false" ht="15" hidden="false" customHeight="false" outlineLevel="0" collapsed="false">
      <c r="B22" s="5" t="s">
        <v>627</v>
      </c>
      <c r="F22" s="6" t="n">
        <f aca="false">(Inputs!$D$69-Inputs!$D$67)*Inputs!$D$78*1000000000/1000000000000</f>
        <v>11.34</v>
      </c>
    </row>
    <row r="23" customFormat="false" ht="15" hidden="false" customHeight="false" outlineLevel="0" collapsed="false">
      <c r="B23" s="5" t="s">
        <v>628</v>
      </c>
      <c r="F23" s="31" t="n">
        <f aca="false">(Inputs!$D$68-Inputs!$D$67)*Inputs!$D$78/Inputs!$D$22/Inputs!$D$61</f>
        <v>0.0117253794526965</v>
      </c>
    </row>
    <row r="24" customFormat="false" ht="15" hidden="false" customHeight="false" outlineLevel="0" collapsed="false">
      <c r="B24" s="5" t="s">
        <v>629</v>
      </c>
      <c r="F24" s="31" t="n">
        <f aca="false">(Inputs!$D$69-Inputs!$D$67)*Inputs!$D$78/Inputs!$D$22/Inputs!$D$61</f>
        <v>0.0182394791486391</v>
      </c>
    </row>
    <row r="25" customFormat="false" ht="15" hidden="false" customHeight="false" outlineLevel="0" collapsed="false">
      <c r="B25" s="5" t="s">
        <v>630</v>
      </c>
      <c r="F25" s="21" t="n">
        <f aca="false">Inputs!$D$10/Inputs!$D$16*1000</f>
        <v>112.5</v>
      </c>
    </row>
    <row r="26" customFormat="false" ht="15" hidden="false" customHeight="false" outlineLevel="0" collapsed="false">
      <c r="B26" s="5" t="s">
        <v>631</v>
      </c>
      <c r="F26" s="21" t="n">
        <f aca="false">Inputs!$D$11/Inputs!$D$16*1000</f>
        <v>185.143703816333</v>
      </c>
    </row>
    <row r="27" customFormat="false" ht="15" hidden="false" customHeight="false" outlineLevel="0" collapsed="false">
      <c r="B27" s="5" t="s">
        <v>632</v>
      </c>
      <c r="F27" s="21" t="n">
        <f aca="false">Inputs!$D$17*12/Inputs!$D$16</f>
        <v>15.4285714285714</v>
      </c>
    </row>
    <row r="28" customFormat="false" ht="15" hidden="false" customHeight="false" outlineLevel="0" collapsed="false">
      <c r="B28" s="5" t="s">
        <v>633</v>
      </c>
      <c r="F28" s="21" t="n">
        <f aca="false">Inputs!$D$18*12/Inputs!$D$16</f>
        <v>19.2857142857143</v>
      </c>
    </row>
    <row r="29" customFormat="false" ht="15" hidden="false" customHeight="false" outlineLevel="0" collapsed="false">
      <c r="B29" s="5" t="s">
        <v>634</v>
      </c>
      <c r="F29" s="38" t="n">
        <f aca="false">(Inputs!$D$62-Inputs!$D$61)*Inputs!$D$22*1000000000*Inputs!$D$104/12/Inputs!$D$53/(Inputs!$D$10*1000000)</f>
        <v>1.14741849539119</v>
      </c>
    </row>
    <row r="30" customFormat="false" ht="15" hidden="false" customHeight="false" outlineLevel="0" collapsed="false">
      <c r="B30" s="5" t="s">
        <v>635</v>
      </c>
      <c r="F30" s="38" t="n">
        <f aca="false">(Inputs!$D$62-Inputs!$D$61)*Inputs!$D$22*1000000000*Inputs!$D$104/12/Inputs!$D$53/(Inputs!$D$11*1000000)</f>
        <v>0.697212911218218</v>
      </c>
    </row>
    <row r="31" customFormat="false" ht="15" hidden="false" customHeight="false" outlineLevel="0" collapsed="false">
      <c r="B31" s="5" t="s">
        <v>636</v>
      </c>
      <c r="F31" s="41" t="n">
        <f aca="false">(Inputs!$D$62-Inputs!$D$61)*Inputs!$D$22*1000000000*Inputs!$D$104/12/Inputs!$D$53/(Inputs!$D$18*12*1000)</f>
        <v>6.6932745564486</v>
      </c>
    </row>
    <row r="32" customFormat="false" ht="15" hidden="false" customHeight="false" outlineLevel="0" collapsed="false">
      <c r="B32" s="5" t="s">
        <v>637</v>
      </c>
      <c r="F32" s="41" t="n">
        <f aca="false">(Inputs!$D$62-Inputs!$D$61)*Inputs!$D$22*1000000000*Inputs!$D$104/12/Inputs!$D$53/(Inputs!$D$17*12*1000)</f>
        <v>8.36659319556076</v>
      </c>
    </row>
    <row r="33" customFormat="false" ht="15" hidden="false" customHeight="false" outlineLevel="0" collapsed="false">
      <c r="B33" s="5" t="s">
        <v>638</v>
      </c>
      <c r="F33" s="32" t="n">
        <f aca="false">(Inputs!$D$64-Inputs!$D$61)*Inputs!$D$22*1000000000/1000000000000</f>
        <v>81.8030264550001</v>
      </c>
    </row>
    <row r="34" customFormat="false" ht="15" hidden="false" customHeight="false" outlineLevel="0" collapsed="false">
      <c r="B34" s="5" t="s">
        <v>639</v>
      </c>
      <c r="F34" s="6" t="n">
        <f aca="false">(Inputs!$D$64-Inputs!$D$61)*Inputs!$D$22*1000000000/Inputs!$D$53/1000000000</f>
        <v>3.1011838067708</v>
      </c>
    </row>
    <row r="35" customFormat="false" ht="15" hidden="false" customHeight="false" outlineLevel="0" collapsed="false">
      <c r="B35" s="5" t="s">
        <v>640</v>
      </c>
      <c r="F35" s="32" t="n">
        <f aca="false">(Inputs!$D$64-Inputs!$D$61)*Inputs!$D$22/(Inputs!$D$57-Inputs!$D$63)</f>
        <v>62.0688547695647</v>
      </c>
    </row>
    <row r="36" customFormat="false" ht="15" hidden="false" customHeight="false" outlineLevel="0" collapsed="false">
      <c r="B36" s="5" t="s">
        <v>641</v>
      </c>
      <c r="F36" s="32" t="n">
        <f aca="false">(Inputs!$D$64-Inputs!$D$61)*Inputs!$D$22/(Stack!$C$20/1000*Inputs!$D$53+'Start here'!$C$17/1000*Inputs!$D$53-Inputs!$D$63)</f>
        <v>17.4599732760454</v>
      </c>
    </row>
    <row r="37" customFormat="false" ht="15" hidden="false" customHeight="false" outlineLevel="0" collapsed="false">
      <c r="B37" s="5" t="s">
        <v>642</v>
      </c>
      <c r="F37" s="39" t="n">
        <f aca="false">(Inputs!$D$5*Inputs!$D$6)/(Inputs!$D$3*Inputs!$D$4)-1</f>
        <v>0.730769230769231</v>
      </c>
    </row>
    <row r="38" customFormat="false" ht="15" hidden="false" customHeight="false" outlineLevel="0" collapsed="false">
      <c r="B38" s="5" t="s">
        <v>643</v>
      </c>
      <c r="F38" s="31" t="n">
        <f aca="false">Inputs!$D$33/(Inputs!$D$33+Inputs!$D$34-Inputs!$D$35)</f>
        <v>0.55706443080874</v>
      </c>
    </row>
    <row r="39" customFormat="false" ht="15" hidden="false" customHeight="false" outlineLevel="0" collapsed="false">
      <c r="B39" s="5" t="s">
        <v>644</v>
      </c>
      <c r="F39" s="38" t="n">
        <f aca="false">Inputs!$D$33/Inputs!$D$36</f>
        <v>2.95129095973664</v>
      </c>
    </row>
    <row r="40" customFormat="false" ht="15" hidden="false" customHeight="false" outlineLevel="0" collapsed="false">
      <c r="B40" s="5" t="s">
        <v>645</v>
      </c>
      <c r="F40" s="39" t="n">
        <f aca="false">Inputs!$D$34/Inputs!$D$37-1</f>
        <v>0.226279139988396</v>
      </c>
    </row>
    <row r="41" customFormat="false" ht="15" hidden="false" customHeight="false" outlineLevel="0" collapsed="false">
      <c r="B41" s="5" t="s">
        <v>646</v>
      </c>
      <c r="F41" s="47" t="n">
        <f aca="false">Balance!E9/Balance!E6</f>
        <v>0.00757555702535294</v>
      </c>
    </row>
    <row r="42" customFormat="false" ht="15" hidden="false" customHeight="false" outlineLevel="0" collapsed="false">
      <c r="B42" s="5" t="s">
        <v>647</v>
      </c>
      <c r="F42" s="21" t="n">
        <f aca="false">Inputs!$D$11</f>
        <v>288.001317047629</v>
      </c>
    </row>
    <row r="43" customFormat="false" ht="15" hidden="false" customHeight="false" outlineLevel="0" collapsed="false">
      <c r="B43" s="5" t="s">
        <v>551</v>
      </c>
      <c r="F43" s="31" t="n">
        <f aca="false">Stack!$C$23</f>
        <v>0.29914202188211</v>
      </c>
    </row>
    <row r="44" customFormat="false" ht="15" hidden="false" customHeight="false" outlineLevel="0" collapsed="false">
      <c r="B44" s="5" t="s">
        <v>648</v>
      </c>
      <c r="F44" s="31" t="n">
        <f aca="false">'Start here'!$C$17/('Start here'!$C$17+Stack!$C$20)</f>
        <v>0.15052885729022</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1:H3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2" min="2" style="0" width="60"/>
    <col collapsed="false" customWidth="true" hidden="false" outlineLevel="0" max="9" min="3" style="0" width="14"/>
  </cols>
  <sheetData>
    <row r="1" customFormat="false" ht="15" hidden="false" customHeight="false" outlineLevel="0" collapsed="false">
      <c r="B1" s="7" t="s">
        <v>456</v>
      </c>
    </row>
    <row r="2" customFormat="false" ht="15" hidden="false" customHeight="false" outlineLevel="0" collapsed="false">
      <c r="B2" s="1" t="s">
        <v>649</v>
      </c>
    </row>
    <row r="4" customFormat="false" ht="15" hidden="false" customHeight="false" outlineLevel="0" collapsed="false">
      <c r="B4" s="2" t="s">
        <v>650</v>
      </c>
    </row>
    <row r="5" customFormat="false" ht="15" hidden="false" customHeight="false" outlineLevel="0" collapsed="false">
      <c r="B5" s="0" t="s">
        <v>651</v>
      </c>
      <c r="C5" s="35" t="n">
        <f aca="false">Inputs!$D$77</f>
        <v>1624</v>
      </c>
    </row>
    <row r="6" customFormat="false" ht="15" hidden="false" customHeight="false" outlineLevel="0" collapsed="false">
      <c r="B6" s="0" t="s">
        <v>652</v>
      </c>
      <c r="C6" s="35" t="n">
        <f aca="false">Balance!C14+Balance!C15</f>
        <v>2700</v>
      </c>
    </row>
    <row r="7" customFormat="false" ht="15" hidden="false" customHeight="false" outlineLevel="0" collapsed="false">
      <c r="B7" s="0" t="s">
        <v>653</v>
      </c>
      <c r="C7" s="35" t="n">
        <f aca="false">Balance!C16</f>
        <v>1500</v>
      </c>
    </row>
    <row r="8" customFormat="false" ht="15" hidden="false" customHeight="false" outlineLevel="0" collapsed="false">
      <c r="B8" s="0" t="s">
        <v>654</v>
      </c>
      <c r="C8" s="35" t="n">
        <f aca="false">Inputs!$D$106-C5-C6-C7</f>
        <v>16700</v>
      </c>
    </row>
    <row r="9" customFormat="false" ht="15" hidden="false" customHeight="false" outlineLevel="0" collapsed="false">
      <c r="B9" s="0" t="s">
        <v>655</v>
      </c>
      <c r="C9" s="37" t="n">
        <f aca="false">C5/Inputs!$D$106</f>
        <v>0.072100870182916</v>
      </c>
    </row>
    <row r="10" customFormat="false" ht="15" hidden="false" customHeight="false" outlineLevel="0" collapsed="false">
      <c r="B10" s="0" t="s">
        <v>656</v>
      </c>
      <c r="C10" s="37" t="n">
        <f aca="false">(C5+C6)/Inputs!$D$106</f>
        <v>0.191973006570769</v>
      </c>
    </row>
    <row r="12" customFormat="false" ht="15" hidden="false" customHeight="false" outlineLevel="0" collapsed="false">
      <c r="B12" s="2" t="s">
        <v>657</v>
      </c>
    </row>
    <row r="14" customFormat="false" ht="15" hidden="false" customHeight="false" outlineLevel="0" collapsed="false">
      <c r="B14" s="2" t="s">
        <v>658</v>
      </c>
    </row>
    <row r="15" customFormat="false" ht="15" hidden="false" customHeight="false" outlineLevel="0" collapsed="false">
      <c r="C15" s="8" t="s">
        <v>459</v>
      </c>
      <c r="D15" s="8" t="s">
        <v>460</v>
      </c>
      <c r="E15" s="8" t="s">
        <v>461</v>
      </c>
      <c r="F15" s="8" t="s">
        <v>462</v>
      </c>
    </row>
    <row r="16" customFormat="false" ht="15" hidden="false" customHeight="false" outlineLevel="0" collapsed="false">
      <c r="B16" s="0" t="s">
        <v>659</v>
      </c>
      <c r="C16" s="35" t="n">
        <f aca="false">Inputs!$D$39</f>
        <v>4256</v>
      </c>
      <c r="D16" s="35" t="n">
        <f aca="false">Inputs!$D$41</f>
        <v>8309</v>
      </c>
      <c r="E16" s="35" t="n">
        <f aca="false">Inputs!$D$43</f>
        <v>13348</v>
      </c>
      <c r="F16" s="35" t="n">
        <f aca="false">Inputs!$D$45</f>
        <v>13964</v>
      </c>
    </row>
    <row r="17" customFormat="false" ht="15" hidden="false" customHeight="false" outlineLevel="0" collapsed="false">
      <c r="B17" s="0" t="s">
        <v>660</v>
      </c>
      <c r="C17" s="35" t="n">
        <f aca="false">Inputs!$D$47</f>
        <v>5680</v>
      </c>
      <c r="D17" s="35" t="n">
        <f aca="false">Inputs!$D$48</f>
        <v>9678</v>
      </c>
      <c r="E17" s="35" t="n">
        <f aca="false">Inputs!$D$49</f>
        <v>14081</v>
      </c>
      <c r="F17" s="35" t="n">
        <f aca="false">Inputs!$D$50</f>
        <v>13026</v>
      </c>
    </row>
    <row r="18" customFormat="false" ht="15" hidden="false" customHeight="false" outlineLevel="0" collapsed="false">
      <c r="B18" s="0" t="s">
        <v>661</v>
      </c>
      <c r="C18" s="35" t="n">
        <f aca="false">Balance!E40</f>
        <v>1894</v>
      </c>
      <c r="D18" s="35" t="n">
        <f aca="false">Balance!F40</f>
        <v>5713.5</v>
      </c>
      <c r="E18" s="35" t="n">
        <f aca="false">Balance!G40</f>
        <v>6658.5</v>
      </c>
      <c r="F18" s="35" t="n">
        <f aca="false">Balance!H40</f>
        <v>8953.5</v>
      </c>
    </row>
    <row r="19" customFormat="false" ht="15" hidden="false" customHeight="false" outlineLevel="0" collapsed="false">
      <c r="B19" s="0" t="s">
        <v>662</v>
      </c>
      <c r="C19" s="35" t="n">
        <f aca="false">Balance!E64</f>
        <v>4694</v>
      </c>
      <c r="D19" s="35" t="n">
        <f aca="false">Balance!F64</f>
        <v>8513.5</v>
      </c>
      <c r="E19" s="35" t="n">
        <f aca="false">Balance!G64</f>
        <v>9458.5</v>
      </c>
      <c r="F19" s="35" t="n">
        <f aca="false">Balance!H64</f>
        <v>13103.5</v>
      </c>
    </row>
    <row r="20" customFormat="false" ht="15" hidden="false" customHeight="false" outlineLevel="0" collapsed="false">
      <c r="B20" s="0" t="s">
        <v>663</v>
      </c>
      <c r="C20" s="35" t="n">
        <f aca="false">Balance!E55</f>
        <v>4100</v>
      </c>
      <c r="D20" s="35" t="n">
        <f aca="false">Balance!F55</f>
        <v>5800</v>
      </c>
      <c r="E20" s="35" t="n">
        <f aca="false">Balance!G55</f>
        <v>5800</v>
      </c>
      <c r="F20" s="35" t="n">
        <f aca="false">Balance!H55</f>
        <v>8500</v>
      </c>
    </row>
    <row r="22" customFormat="false" ht="15" hidden="false" customHeight="false" outlineLevel="0" collapsed="false">
      <c r="B22" s="2" t="s">
        <v>664</v>
      </c>
    </row>
    <row r="24" customFormat="false" ht="15" hidden="false" customHeight="false" outlineLevel="0" collapsed="false">
      <c r="B24" s="2" t="s">
        <v>665</v>
      </c>
    </row>
    <row r="25" customFormat="false" ht="15" hidden="false" customHeight="false" outlineLevel="0" collapsed="false">
      <c r="C25" s="8" t="s">
        <v>500</v>
      </c>
      <c r="D25" s="8" t="s">
        <v>666</v>
      </c>
      <c r="E25" s="8" t="s">
        <v>484</v>
      </c>
      <c r="F25" s="8" t="s">
        <v>667</v>
      </c>
      <c r="G25" s="8" t="s">
        <v>668</v>
      </c>
      <c r="H25" s="8" t="s">
        <v>669</v>
      </c>
    </row>
    <row r="26" customFormat="false" ht="15" hidden="false" customHeight="false" outlineLevel="0" collapsed="false">
      <c r="B26" s="0" t="s">
        <v>670</v>
      </c>
      <c r="C26" s="26" t="n">
        <v>0.46</v>
      </c>
      <c r="D26" s="26" t="n">
        <v>0.34</v>
      </c>
      <c r="F26" s="26" t="n">
        <v>0.08</v>
      </c>
    </row>
    <row r="27" customFormat="false" ht="15" hidden="false" customHeight="false" outlineLevel="0" collapsed="false">
      <c r="B27" s="0" t="s">
        <v>671</v>
      </c>
      <c r="C27" s="26" t="n">
        <v>0.572</v>
      </c>
    </row>
    <row r="28" customFormat="false" ht="15" hidden="false" customHeight="false" outlineLevel="0" collapsed="false">
      <c r="B28" s="0" t="s">
        <v>672</v>
      </c>
      <c r="C28" s="26" t="n">
        <v>0.545</v>
      </c>
      <c r="D28" s="26" t="n">
        <v>0.21</v>
      </c>
      <c r="E28" s="26" t="n">
        <v>0.08</v>
      </c>
      <c r="F28" s="26" t="n">
        <v>0.129</v>
      </c>
      <c r="G28" s="26" t="n">
        <v>0.035</v>
      </c>
      <c r="H28" s="31" t="n">
        <f aca="false">1-SUM(C28:G28)</f>
        <v>0.00099999999999989</v>
      </c>
    </row>
    <row r="29" customFormat="false" ht="15" hidden="false" customHeight="false" outlineLevel="0" collapsed="false">
      <c r="B29" s="0" t="s">
        <v>673</v>
      </c>
      <c r="C29" s="31" t="n">
        <f aca="false">Inputs!$D$27</f>
        <v>0.499</v>
      </c>
      <c r="D29" s="31" t="n">
        <f aca="false">Inputs!$D$28</f>
        <v>0.258</v>
      </c>
      <c r="E29" s="31" t="n">
        <f aca="false">Inputs!$D$29</f>
        <v>0.077</v>
      </c>
      <c r="F29" s="31" t="n">
        <f aca="false">Inputs!$D$30</f>
        <v>0.126</v>
      </c>
      <c r="G29" s="31" t="n">
        <f aca="false">Inputs!$D$31</f>
        <v>0.039</v>
      </c>
      <c r="H29" s="31" t="n">
        <f aca="false">1-SUM(C29:G29)</f>
        <v>0.001</v>
      </c>
    </row>
    <row r="31" customFormat="false" ht="15" hidden="false" customHeight="false" outlineLevel="0" collapsed="false">
      <c r="B31" s="7" t="s">
        <v>674</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2:E1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2" min="2" style="0" width="80"/>
    <col collapsed="false" customWidth="true" hidden="false" outlineLevel="0" max="4" min="3" style="0" width="16"/>
    <col collapsed="false" customWidth="true" hidden="false" outlineLevel="0" max="5" min="5" style="0" width="70"/>
  </cols>
  <sheetData>
    <row r="2" customFormat="false" ht="15" hidden="false" customHeight="false" outlineLevel="0" collapsed="false">
      <c r="B2" s="1" t="s">
        <v>675</v>
      </c>
    </row>
    <row r="4" customFormat="false" ht="15" hidden="false" customHeight="false" outlineLevel="0" collapsed="false">
      <c r="B4" s="8" t="s">
        <v>676</v>
      </c>
      <c r="C4" s="8" t="s">
        <v>677</v>
      </c>
      <c r="D4" s="8" t="s">
        <v>678</v>
      </c>
      <c r="E4" s="8" t="s">
        <v>679</v>
      </c>
    </row>
    <row r="5" customFormat="false" ht="15" hidden="false" customHeight="false" outlineLevel="0" collapsed="false">
      <c r="B5" s="5" t="s">
        <v>680</v>
      </c>
      <c r="C5" s="6" t="n">
        <f aca="false">(Inputs!$D$55+Inputs!$D$56)*Inputs!$D$54/1000/1000*Inputs!$D$53</f>
        <v>2390.374254488</v>
      </c>
      <c r="D5" s="6" t="n">
        <f aca="false">Inputs!$D$57</f>
        <v>3410.64</v>
      </c>
      <c r="E5" s="4" t="s">
        <v>681</v>
      </c>
    </row>
    <row r="6" customFormat="false" ht="15" hidden="false" customHeight="false" outlineLevel="0" collapsed="false">
      <c r="B6" s="5" t="s">
        <v>682</v>
      </c>
      <c r="C6" s="31" t="n">
        <f aca="false">Inputs!$D$103</f>
        <v>0.0200365188784092</v>
      </c>
      <c r="D6" s="31" t="n">
        <v>0.02</v>
      </c>
      <c r="E6" s="4" t="s">
        <v>683</v>
      </c>
    </row>
    <row r="7" customFormat="false" ht="15" hidden="false" customHeight="false" outlineLevel="0" collapsed="false">
      <c r="B7" s="5" t="s">
        <v>684</v>
      </c>
      <c r="C7" s="6" t="n">
        <f aca="false">Inputs!$D$40</f>
        <v>2.9</v>
      </c>
      <c r="D7" s="6" t="n">
        <f aca="false">Inputs!$D$39*680/1000000</f>
        <v>2.89408</v>
      </c>
      <c r="E7" s="4" t="s">
        <v>685</v>
      </c>
    </row>
    <row r="8" customFormat="false" ht="15" hidden="false" customHeight="false" outlineLevel="0" collapsed="false">
      <c r="B8" s="5" t="s">
        <v>686</v>
      </c>
      <c r="C8" s="31" t="n">
        <f aca="false">Inputs!$D$33/(Inputs!$D$33+Inputs!$D$34-Inputs!$D$35)</f>
        <v>0.55706443080874</v>
      </c>
      <c r="D8" s="31" t="n">
        <v>0.5</v>
      </c>
      <c r="E8" s="4" t="s">
        <v>687</v>
      </c>
    </row>
    <row r="9" customFormat="false" ht="15" hidden="false" customHeight="false" outlineLevel="0" collapsed="false">
      <c r="B9" s="5" t="s">
        <v>688</v>
      </c>
      <c r="C9" s="6" t="n">
        <f aca="false">Inputs!$D$10</f>
        <v>175</v>
      </c>
      <c r="D9" s="6" t="n">
        <f aca="false">Inputs!$D$11</f>
        <v>288.001317047629</v>
      </c>
      <c r="E9" s="4" t="s">
        <v>689</v>
      </c>
    </row>
    <row r="10" customFormat="false" ht="15" hidden="false" customHeight="false" outlineLevel="0" collapsed="false">
      <c r="B10" s="5" t="s">
        <v>690</v>
      </c>
      <c r="C10" s="6" t="n">
        <f aca="false">Inputs!$D$78*1000000*Inputs!$D$54/1000/Inputs!$D$73/1000000</f>
        <v>0.679461230769231</v>
      </c>
      <c r="D10" s="6" t="n">
        <f aca="false">Inputs!$D$98</f>
        <v>0.4</v>
      </c>
      <c r="E10" s="4" t="s">
        <v>691</v>
      </c>
    </row>
    <row r="11" customFormat="false" ht="15" hidden="false" customHeight="false" outlineLevel="0" collapsed="false">
      <c r="B11" s="5" t="s">
        <v>692</v>
      </c>
      <c r="C11" s="6" t="n">
        <f aca="false">Balance!D6</f>
        <v>352.8204</v>
      </c>
      <c r="D11" s="6" t="n">
        <f aca="false">Inputs!$D$26*12/9</f>
        <v>354.386666666667</v>
      </c>
      <c r="E11" s="4" t="s">
        <v>693</v>
      </c>
    </row>
    <row r="12" customFormat="false" ht="15" hidden="false" customHeight="false" outlineLevel="0" collapsed="false">
      <c r="B12" s="5" t="s">
        <v>694</v>
      </c>
      <c r="C12" s="31" t="n">
        <f aca="false">(Inputs!$D$5*Inputs!$D$6)/(Inputs!$D$3*Inputs!$D$4)-1</f>
        <v>0.730769230769231</v>
      </c>
      <c r="D12" s="31" t="n">
        <v>0.73</v>
      </c>
      <c r="E12" s="4" t="s">
        <v>321</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2:E3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2" min="2" style="0" width="34"/>
    <col collapsed="false" customWidth="true" hidden="false" outlineLevel="0" max="3" min="3" style="0" width="110"/>
    <col collapsed="false" customWidth="true" hidden="false" outlineLevel="0" max="4" min="4" style="0" width="14"/>
    <col collapsed="false" customWidth="true" hidden="false" outlineLevel="0" max="5" min="5" style="0" width="16"/>
  </cols>
  <sheetData>
    <row r="2" customFormat="false" ht="15" hidden="false" customHeight="false" outlineLevel="0" collapsed="false">
      <c r="B2" s="1" t="s">
        <v>695</v>
      </c>
    </row>
    <row r="4" customFormat="false" ht="15" hidden="false" customHeight="false" outlineLevel="0" collapsed="false">
      <c r="B4" s="8" t="s">
        <v>696</v>
      </c>
      <c r="C4" s="8" t="s">
        <v>697</v>
      </c>
      <c r="D4" s="8" t="s">
        <v>99</v>
      </c>
      <c r="E4" s="8" t="s">
        <v>100</v>
      </c>
    </row>
    <row r="5" customFormat="false" ht="15" hidden="false" customHeight="false" outlineLevel="0" collapsed="false">
      <c r="B5" s="5" t="s">
        <v>698</v>
      </c>
      <c r="C5" s="9" t="s">
        <v>699</v>
      </c>
      <c r="D5" s="5" t="s">
        <v>308</v>
      </c>
      <c r="E5" s="5" t="s">
        <v>700</v>
      </c>
    </row>
    <row r="6" customFormat="false" ht="23.85" hidden="false" customHeight="false" outlineLevel="0" collapsed="false">
      <c r="B6" s="5" t="s">
        <v>701</v>
      </c>
      <c r="C6" s="9" t="s">
        <v>702</v>
      </c>
      <c r="D6" s="5" t="s">
        <v>107</v>
      </c>
      <c r="E6" s="5" t="s">
        <v>700</v>
      </c>
    </row>
    <row r="7" customFormat="false" ht="15" hidden="false" customHeight="false" outlineLevel="0" collapsed="false">
      <c r="B7" s="5" t="s">
        <v>536</v>
      </c>
      <c r="C7" s="9" t="s">
        <v>703</v>
      </c>
      <c r="D7" s="5" t="s">
        <v>274</v>
      </c>
      <c r="E7" s="5" t="s">
        <v>700</v>
      </c>
    </row>
    <row r="8" customFormat="false" ht="15" hidden="false" customHeight="false" outlineLevel="0" collapsed="false">
      <c r="B8" s="5" t="s">
        <v>528</v>
      </c>
      <c r="C8" s="9" t="s">
        <v>704</v>
      </c>
      <c r="D8" s="5" t="s">
        <v>161</v>
      </c>
      <c r="E8" s="5" t="s">
        <v>700</v>
      </c>
    </row>
    <row r="9" customFormat="false" ht="15" hidden="false" customHeight="false" outlineLevel="0" collapsed="false">
      <c r="B9" s="5" t="s">
        <v>705</v>
      </c>
      <c r="C9" s="9" t="s">
        <v>706</v>
      </c>
      <c r="D9" s="5" t="s">
        <v>449</v>
      </c>
      <c r="E9" s="5" t="s">
        <v>707</v>
      </c>
    </row>
    <row r="10" customFormat="false" ht="15" hidden="false" customHeight="false" outlineLevel="0" collapsed="false">
      <c r="B10" s="5" t="s">
        <v>708</v>
      </c>
      <c r="C10" s="9" t="s">
        <v>709</v>
      </c>
      <c r="D10" s="5" t="s">
        <v>161</v>
      </c>
      <c r="E10" s="5" t="s">
        <v>710</v>
      </c>
    </row>
    <row r="11" customFormat="false" ht="23.85" hidden="false" customHeight="false" outlineLevel="0" collapsed="false">
      <c r="B11" s="5" t="s">
        <v>711</v>
      </c>
      <c r="C11" s="9" t="s">
        <v>712</v>
      </c>
      <c r="D11" s="5" t="s">
        <v>161</v>
      </c>
      <c r="E11" s="5" t="s">
        <v>713</v>
      </c>
    </row>
    <row r="12" customFormat="false" ht="23.85" hidden="false" customHeight="false" outlineLevel="0" collapsed="false">
      <c r="B12" s="5" t="s">
        <v>714</v>
      </c>
      <c r="C12" s="9" t="s">
        <v>715</v>
      </c>
      <c r="D12" s="5" t="s">
        <v>132</v>
      </c>
      <c r="E12" s="5" t="s">
        <v>700</v>
      </c>
    </row>
    <row r="13" customFormat="false" ht="15" hidden="false" customHeight="false" outlineLevel="0" collapsed="false">
      <c r="B13" s="5" t="s">
        <v>716</v>
      </c>
      <c r="C13" s="9" t="s">
        <v>717</v>
      </c>
      <c r="D13" s="5" t="s">
        <v>179</v>
      </c>
      <c r="E13" s="5" t="s">
        <v>180</v>
      </c>
    </row>
    <row r="14" customFormat="false" ht="23.85" hidden="false" customHeight="false" outlineLevel="0" collapsed="false">
      <c r="B14" s="5" t="s">
        <v>718</v>
      </c>
      <c r="C14" s="9" t="s">
        <v>719</v>
      </c>
      <c r="D14" s="5" t="s">
        <v>196</v>
      </c>
      <c r="E14" s="5" t="s">
        <v>720</v>
      </c>
    </row>
    <row r="15" customFormat="false" ht="15" hidden="false" customHeight="false" outlineLevel="0" collapsed="false">
      <c r="B15" s="5" t="s">
        <v>721</v>
      </c>
      <c r="C15" s="9" t="s">
        <v>722</v>
      </c>
      <c r="D15" s="5" t="s">
        <v>308</v>
      </c>
      <c r="E15" s="5" t="s">
        <v>720</v>
      </c>
    </row>
    <row r="16" customFormat="false" ht="15" hidden="false" customHeight="false" outlineLevel="0" collapsed="false">
      <c r="B16" s="5" t="s">
        <v>723</v>
      </c>
      <c r="C16" s="9" t="s">
        <v>724</v>
      </c>
      <c r="D16" s="5" t="s">
        <v>201</v>
      </c>
      <c r="E16" s="5" t="s">
        <v>180</v>
      </c>
    </row>
    <row r="17" customFormat="false" ht="15" hidden="false" customHeight="false" outlineLevel="0" collapsed="false">
      <c r="B17" s="5" t="s">
        <v>725</v>
      </c>
      <c r="C17" s="9" t="s">
        <v>726</v>
      </c>
      <c r="D17" s="5" t="s">
        <v>727</v>
      </c>
      <c r="E17" s="5" t="s">
        <v>180</v>
      </c>
    </row>
    <row r="18" customFormat="false" ht="15" hidden="false" customHeight="false" outlineLevel="0" collapsed="false">
      <c r="B18" s="5" t="s">
        <v>728</v>
      </c>
      <c r="C18" s="9" t="s">
        <v>729</v>
      </c>
      <c r="D18" s="5" t="s">
        <v>201</v>
      </c>
      <c r="E18" s="5" t="s">
        <v>730</v>
      </c>
    </row>
    <row r="19" customFormat="false" ht="15" hidden="false" customHeight="false" outlineLevel="0" collapsed="false">
      <c r="B19" s="5" t="s">
        <v>731</v>
      </c>
      <c r="C19" s="9" t="s">
        <v>732</v>
      </c>
      <c r="D19" s="5" t="s">
        <v>161</v>
      </c>
      <c r="E19" s="5" t="s">
        <v>700</v>
      </c>
    </row>
    <row r="20" customFormat="false" ht="15" hidden="false" customHeight="false" outlineLevel="0" collapsed="false">
      <c r="B20" s="5" t="s">
        <v>733</v>
      </c>
      <c r="C20" s="9" t="s">
        <v>734</v>
      </c>
      <c r="D20" s="5" t="s">
        <v>141</v>
      </c>
      <c r="E20" s="5" t="s">
        <v>700</v>
      </c>
    </row>
    <row r="21" customFormat="false" ht="15" hidden="false" customHeight="false" outlineLevel="0" collapsed="false">
      <c r="B21" s="5" t="s">
        <v>735</v>
      </c>
      <c r="C21" s="9" t="s">
        <v>736</v>
      </c>
      <c r="D21" s="5" t="s">
        <v>737</v>
      </c>
      <c r="E21" s="5" t="s">
        <v>700</v>
      </c>
    </row>
    <row r="22" customFormat="false" ht="15" hidden="false" customHeight="false" outlineLevel="0" collapsed="false">
      <c r="B22" s="5" t="s">
        <v>738</v>
      </c>
      <c r="C22" s="9" t="s">
        <v>739</v>
      </c>
      <c r="D22" s="5" t="s">
        <v>737</v>
      </c>
      <c r="E22" s="5" t="s">
        <v>740</v>
      </c>
    </row>
    <row r="23" customFormat="false" ht="15" hidden="false" customHeight="false" outlineLevel="0" collapsed="false">
      <c r="B23" s="5" t="s">
        <v>741</v>
      </c>
      <c r="C23" s="9" t="s">
        <v>742</v>
      </c>
      <c r="D23" s="5" t="s">
        <v>367</v>
      </c>
      <c r="E23" s="5" t="s">
        <v>710</v>
      </c>
    </row>
    <row r="24" customFormat="false" ht="15" hidden="false" customHeight="false" outlineLevel="0" collapsed="false">
      <c r="B24" s="5" t="s">
        <v>743</v>
      </c>
      <c r="C24" s="9" t="s">
        <v>744</v>
      </c>
      <c r="D24" s="5" t="s">
        <v>745</v>
      </c>
      <c r="E24" s="5" t="s">
        <v>700</v>
      </c>
    </row>
    <row r="25" customFormat="false" ht="15" hidden="false" customHeight="false" outlineLevel="0" collapsed="false">
      <c r="B25" s="5" t="s">
        <v>746</v>
      </c>
      <c r="C25" s="9" t="s">
        <v>747</v>
      </c>
      <c r="D25" s="5" t="s">
        <v>360</v>
      </c>
      <c r="E25" s="5" t="s">
        <v>361</v>
      </c>
    </row>
    <row r="26" customFormat="false" ht="15" hidden="false" customHeight="false" outlineLevel="0" collapsed="false">
      <c r="B26" s="5" t="s">
        <v>748</v>
      </c>
      <c r="C26" s="9" t="s">
        <v>749</v>
      </c>
      <c r="D26" s="5" t="s">
        <v>727</v>
      </c>
      <c r="E26" s="5" t="s">
        <v>361</v>
      </c>
    </row>
    <row r="27" customFormat="false" ht="15" hidden="false" customHeight="false" outlineLevel="0" collapsed="false">
      <c r="B27" s="5" t="s">
        <v>750</v>
      </c>
      <c r="C27" s="9" t="s">
        <v>751</v>
      </c>
      <c r="D27" s="5" t="s">
        <v>170</v>
      </c>
      <c r="E27" s="5" t="s">
        <v>180</v>
      </c>
    </row>
    <row r="28" customFormat="false" ht="15" hidden="false" customHeight="false" outlineLevel="0" collapsed="false">
      <c r="B28" s="5" t="s">
        <v>752</v>
      </c>
      <c r="C28" s="9" t="s">
        <v>753</v>
      </c>
      <c r="D28" s="5" t="s">
        <v>424</v>
      </c>
      <c r="E28" s="5" t="s">
        <v>720</v>
      </c>
    </row>
    <row r="29" customFormat="false" ht="15" hidden="false" customHeight="false" outlineLevel="0" collapsed="false">
      <c r="B29" s="5" t="s">
        <v>754</v>
      </c>
      <c r="C29" s="9" t="s">
        <v>755</v>
      </c>
      <c r="D29" s="5" t="s">
        <v>360</v>
      </c>
      <c r="E29" s="5" t="s">
        <v>180</v>
      </c>
    </row>
    <row r="30" customFormat="false" ht="15" hidden="false" customHeight="false" outlineLevel="0" collapsed="false">
      <c r="B30" s="5" t="s">
        <v>756</v>
      </c>
      <c r="C30" s="9" t="s">
        <v>757</v>
      </c>
      <c r="D30" s="5" t="s">
        <v>737</v>
      </c>
      <c r="E30" s="5" t="s">
        <v>180</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1:L33"/>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2" min="2" style="0" width="62"/>
    <col collapsed="false" customWidth="true" hidden="false" outlineLevel="0" max="13" min="3" style="0" width="16"/>
  </cols>
  <sheetData>
    <row r="1" customFormat="false" ht="15" hidden="false" customHeight="false" outlineLevel="0" collapsed="false">
      <c r="B1" s="7" t="s">
        <v>456</v>
      </c>
    </row>
    <row r="2" customFormat="false" ht="15" hidden="false" customHeight="false" outlineLevel="0" collapsed="false">
      <c r="B2" s="1" t="s">
        <v>758</v>
      </c>
    </row>
    <row r="4" customFormat="false" ht="15" hidden="false" customHeight="false" outlineLevel="0" collapsed="false">
      <c r="B4" s="2" t="s">
        <v>458</v>
      </c>
      <c r="C4" s="8" t="s">
        <v>8</v>
      </c>
      <c r="D4" s="8" t="s">
        <v>132</v>
      </c>
      <c r="E4" s="8" t="s">
        <v>459</v>
      </c>
      <c r="F4" s="8" t="s">
        <v>460</v>
      </c>
      <c r="G4" s="8" t="s">
        <v>461</v>
      </c>
      <c r="H4" s="8" t="s">
        <v>462</v>
      </c>
    </row>
    <row r="5" customFormat="false" ht="15" hidden="false" customHeight="false" outlineLevel="0" collapsed="false">
      <c r="B5" s="0" t="s">
        <v>759</v>
      </c>
      <c r="C5" s="6" t="n">
        <f aca="false">Inputs!$D$88</f>
        <v>5.9</v>
      </c>
      <c r="D5" s="6" t="n">
        <f aca="false">C5*(1+Inputs!$D$89)</f>
        <v>5.4103</v>
      </c>
      <c r="E5" s="6" t="n">
        <f aca="false">D5*(1+Inputs!$D$89)</f>
        <v>4.9612451</v>
      </c>
      <c r="F5" s="6" t="n">
        <f aca="false">E5*(1+Inputs!$D$89)</f>
        <v>4.5494617567</v>
      </c>
      <c r="G5" s="6" t="n">
        <f aca="false">F5*(1+Inputs!$D$89)</f>
        <v>4.1718564308939</v>
      </c>
      <c r="H5" s="6" t="n">
        <f aca="false">G5*(1+Inputs!$D$89)</f>
        <v>3.82559234712971</v>
      </c>
    </row>
    <row r="6" customFormat="false" ht="15" hidden="false" customHeight="false" outlineLevel="0" collapsed="false">
      <c r="B6" s="0" t="s">
        <v>760</v>
      </c>
      <c r="C6" s="6" t="n">
        <f aca="false">IF(C$4+0&lt;Inputs!$D$90,0,IF(C$4+0=Inputs!$D$90,Inputs!$D$92,IF(C$4+0=Inputs!$D$90+1,Inputs!$D$93,Inputs!$D$94)))*Inputs!$D$91</f>
        <v>0</v>
      </c>
      <c r="D6" s="6" t="n">
        <f aca="false">IF(D$4+0&lt;Inputs!$D$90,0,IF(D$4+0=Inputs!$D$90,Inputs!$D$92,IF(D$4+0=Inputs!$D$90+1,Inputs!$D$93,Inputs!$D$94)))*Inputs!$D$91</f>
        <v>0</v>
      </c>
      <c r="E6" s="6" t="n">
        <f aca="false">IF(E$4+0&lt;Inputs!$D$90,0,IF(E$4+0=Inputs!$D$90,Inputs!$D$92,IF(E$4+0=Inputs!$D$90+1,Inputs!$D$93,Inputs!$D$94)))*Inputs!$D$91</f>
        <v>0.759</v>
      </c>
      <c r="F6" s="6" t="n">
        <f aca="false">IF(F$4+0&lt;Inputs!$D$90,0,IF(F$4+0=Inputs!$D$90,Inputs!$D$92,IF(F$4+0=Inputs!$D$90+1,Inputs!$D$93,Inputs!$D$94)))*Inputs!$D$91</f>
        <v>3.036</v>
      </c>
      <c r="G6" s="6" t="n">
        <f aca="false">IF(G$4+0&lt;Inputs!$D$90,0,IF(G$4+0=Inputs!$D$90,Inputs!$D$92,IF(G$4+0=Inputs!$D$90+1,Inputs!$D$93,Inputs!$D$94)))*Inputs!$D$91</f>
        <v>5.06</v>
      </c>
      <c r="H6" s="6" t="n">
        <f aca="false">IF(H$4+0&lt;Inputs!$D$90,0,IF(H$4+0=Inputs!$D$90,Inputs!$D$92,IF(H$4+0=Inputs!$D$90+1,Inputs!$D$93,Inputs!$D$94)))*Inputs!$D$91</f>
        <v>5.06</v>
      </c>
    </row>
    <row r="7" customFormat="false" ht="15" hidden="false" customHeight="false" outlineLevel="0" collapsed="false">
      <c r="B7" s="0" t="s">
        <v>761</v>
      </c>
      <c r="C7" s="6" t="n">
        <f aca="false">C5+C6</f>
        <v>5.9</v>
      </c>
      <c r="D7" s="6" t="n">
        <f aca="false">D5+D6</f>
        <v>5.4103</v>
      </c>
      <c r="E7" s="6" t="n">
        <f aca="false">E5+E6</f>
        <v>5.7202451</v>
      </c>
      <c r="F7" s="6" t="n">
        <f aca="false">F5+F6</f>
        <v>7.5854617567</v>
      </c>
      <c r="G7" s="6" t="n">
        <f aca="false">G5+G6</f>
        <v>9.2318564308939</v>
      </c>
      <c r="H7" s="6" t="n">
        <f aca="false">H5+H6</f>
        <v>8.88559234712971</v>
      </c>
    </row>
    <row r="8" customFormat="false" ht="15" hidden="false" customHeight="false" outlineLevel="0" collapsed="false">
      <c r="B8" s="0" t="s">
        <v>762</v>
      </c>
      <c r="C8" s="6" t="n">
        <f aca="false">C7*Inputs!$D$95</f>
        <v>4.72</v>
      </c>
      <c r="D8" s="6" t="n">
        <f aca="false">D7*Inputs!$D$95</f>
        <v>4.32824</v>
      </c>
      <c r="E8" s="6" t="n">
        <f aca="false">E7*Inputs!$D$95</f>
        <v>4.57619608</v>
      </c>
      <c r="F8" s="6" t="n">
        <f aca="false">F7*Inputs!$D$95</f>
        <v>6.06836940536</v>
      </c>
      <c r="G8" s="6" t="n">
        <f aca="false">G7*Inputs!$D$95</f>
        <v>7.38548514471512</v>
      </c>
      <c r="H8" s="6" t="n">
        <f aca="false">H7*Inputs!$D$95</f>
        <v>7.10847387770377</v>
      </c>
    </row>
    <row r="9" customFormat="false" ht="15" hidden="false" customHeight="false" outlineLevel="0" collapsed="false">
      <c r="B9" s="0" t="s">
        <v>763</v>
      </c>
      <c r="C9" s="6" t="n">
        <f aca="false">C8*Inputs!$D$74*1000/Inputs!$D$96</f>
        <v>22.656</v>
      </c>
      <c r="D9" s="6" t="n">
        <f aca="false">D8*Inputs!$D$74*1000/Inputs!$D$96</f>
        <v>20.775552</v>
      </c>
      <c r="E9" s="6" t="n">
        <f aca="false">E8*Inputs!$D$74*1000/Inputs!$D$96</f>
        <v>21.965741184</v>
      </c>
      <c r="F9" s="6" t="n">
        <f aca="false">F8*Inputs!$D$74*1000/Inputs!$D$96</f>
        <v>29.128173145728</v>
      </c>
      <c r="G9" s="6" t="n">
        <f aca="false">G8*Inputs!$D$74*1000/Inputs!$D$96</f>
        <v>35.4503286946326</v>
      </c>
      <c r="H9" s="6" t="n">
        <f aca="false">H8*Inputs!$D$74*1000/Inputs!$D$96</f>
        <v>34.1206746129781</v>
      </c>
    </row>
    <row r="10" customFormat="false" ht="15" hidden="false" customHeight="false" outlineLevel="0" collapsed="false">
      <c r="B10" s="0" t="s">
        <v>764</v>
      </c>
      <c r="C10" s="6" t="n">
        <f aca="false">IF(C$4+0&lt;2026,0,Inputs!$D$77*8.76*Inputs!$D$8/1000+SUMPRODUCT((Balance!$D$14:$D$25&lt;=C$4+0)*(Balance!$F$14:$F$25&lt;='Start here'!$C$10)*(Balance!$H$14:$H$25="LNG")*Balance!$C$14:$C$25)*8.76*Inputs!$D$8/1000)</f>
        <v>0</v>
      </c>
      <c r="D10" s="6" t="n">
        <f aca="false">IF(D$4+0&lt;2026,0,Inputs!$D$77*8.76*Inputs!$D$8/1000+SUMPRODUCT((Balance!$D$14:$D$25&lt;=D$4+0)*(Balance!$F$14:$F$25&lt;='Start here'!$C$10)*(Balance!$H$14:$H$25="LNG")*Balance!$C$14:$C$25)*8.76*Inputs!$D$8/1000)</f>
        <v>5.4059712</v>
      </c>
      <c r="E10" s="6" t="n">
        <f aca="false">IF(E$4+0&lt;2026,0,Inputs!$D$77*8.76*Inputs!$D$8/1000+SUMPRODUCT((Balance!$D$14:$D$25&lt;=E$4+0)*(Balance!$F$14:$F$25&lt;='Start here'!$C$10)*(Balance!$H$14:$H$25="LNG")*Balance!$C$14:$C$25)*8.76*Inputs!$D$8/1000)</f>
        <v>5.4059712</v>
      </c>
      <c r="F10" s="6" t="n">
        <f aca="false">IF(F$4+0&lt;2026,0,Inputs!$D$77*8.76*Inputs!$D$8/1000+SUMPRODUCT((Balance!$D$14:$D$25&lt;=F$4+0)*(Balance!$F$14:$F$25&lt;='Start here'!$C$10)*(Balance!$H$14:$H$25="LNG")*Balance!$C$14:$C$25)*8.76*Inputs!$D$8/1000)</f>
        <v>9.4005312</v>
      </c>
      <c r="G10" s="6" t="n">
        <f aca="false">IF(G$4+0&lt;2026,0,Inputs!$D$77*8.76*Inputs!$D$8/1000+SUMPRODUCT((Balance!$D$14:$D$25&lt;=G$4+0)*(Balance!$F$14:$F$25&lt;='Start here'!$C$10)*(Balance!$H$14:$H$25="LNG")*Balance!$C$14:$C$25)*8.76*Inputs!$D$8/1000)</f>
        <v>9.4005312</v>
      </c>
      <c r="H10" s="6" t="n">
        <f aca="false">IF(H$4+0&lt;2026,0,Inputs!$D$77*8.76*Inputs!$D$8/1000+SUMPRODUCT((Balance!$D$14:$D$25&lt;=H$4+0)*(Balance!$F$14:$F$25&lt;='Start here'!$C$10)*(Balance!$H$14:$H$25="LNG")*Balance!$C$14:$C$25)*8.76*Inputs!$D$8/1000)</f>
        <v>14.3937312</v>
      </c>
    </row>
    <row r="11" customFormat="false" ht="15" hidden="false" customHeight="false" outlineLevel="0" collapsed="false">
      <c r="B11" s="0" t="s">
        <v>765</v>
      </c>
      <c r="C11" s="6" t="n">
        <f aca="false">C10*1000000*Inputs!$D$54/1000/Inputs!$D$73/1000000</f>
        <v>0</v>
      </c>
      <c r="D11" s="6" t="n">
        <f aca="false">D10*1000000*Inputs!$D$54/1000/Inputs!$D$73/1000000</f>
        <v>0.680212563899077</v>
      </c>
      <c r="E11" s="6" t="n">
        <f aca="false">E10*1000000*Inputs!$D$54/1000/Inputs!$D$73/1000000</f>
        <v>0.680212563899077</v>
      </c>
      <c r="F11" s="6" t="n">
        <f aca="false">F10*1000000*Inputs!$D$54/1000/Inputs!$D$73/1000000</f>
        <v>1.18283268500677</v>
      </c>
      <c r="G11" s="6" t="n">
        <f aca="false">G10*1000000*Inputs!$D$54/1000/Inputs!$D$73/1000000</f>
        <v>1.18283268500677</v>
      </c>
      <c r="H11" s="6" t="n">
        <f aca="false">H10*1000000*Inputs!$D$54/1000/Inputs!$D$73/1000000</f>
        <v>1.81110783639138</v>
      </c>
    </row>
    <row r="12" customFormat="false" ht="15" hidden="false" customHeight="false" outlineLevel="0" collapsed="false">
      <c r="B12" s="0" t="s">
        <v>766</v>
      </c>
      <c r="C12" s="6" t="n">
        <f aca="false">IF(C$4+0&lt;2028,Inputs!$D$99,Inputs!$D$100)</f>
        <v>1</v>
      </c>
      <c r="D12" s="6" t="n">
        <f aca="false">IF(D$4+0&lt;2028,Inputs!$D$99,Inputs!$D$100)</f>
        <v>1</v>
      </c>
      <c r="E12" s="6" t="n">
        <f aca="false">IF(E$4+0&lt;2028,Inputs!$D$99,Inputs!$D$100)</f>
        <v>1</v>
      </c>
      <c r="F12" s="6" t="n">
        <f aca="false">IF(F$4+0&lt;2028,Inputs!$D$99,Inputs!$D$100)</f>
        <v>3</v>
      </c>
      <c r="G12" s="6" t="n">
        <f aca="false">IF(G$4+0&lt;2028,Inputs!$D$99,Inputs!$D$100)</f>
        <v>3</v>
      </c>
      <c r="H12" s="6" t="n">
        <f aca="false">IF(H$4+0&lt;2028,Inputs!$D$99,Inputs!$D$100)</f>
        <v>3</v>
      </c>
    </row>
    <row r="13" customFormat="false" ht="15" hidden="false" customHeight="false" outlineLevel="0" collapsed="false">
      <c r="B13" s="0" t="s">
        <v>767</v>
      </c>
      <c r="C13" s="6" t="n">
        <f aca="false">IF(AND(C$4+0&gt;=2027,C$4+0&lt;=2031),Inputs!$D$98,0)</f>
        <v>0</v>
      </c>
      <c r="D13" s="6" t="n">
        <f aca="false">IF(AND(D$4+0&gt;=2027,D$4+0&lt;=2031),Inputs!$D$98,0)</f>
        <v>0</v>
      </c>
      <c r="E13" s="6" t="n">
        <f aca="false">IF(AND(E$4+0&gt;=2027,E$4+0&lt;=2031),Inputs!$D$98,0)</f>
        <v>0.4</v>
      </c>
      <c r="F13" s="6" t="n">
        <f aca="false">IF(AND(F$4+0&gt;=2027,F$4+0&lt;=2031),Inputs!$D$98,0)</f>
        <v>0.4</v>
      </c>
      <c r="G13" s="6" t="n">
        <f aca="false">IF(AND(G$4+0&gt;=2027,G$4+0&lt;=2031),Inputs!$D$98,0)</f>
        <v>0.4</v>
      </c>
      <c r="H13" s="6" t="n">
        <f aca="false">IF(AND(H$4+0&gt;=2027,H$4+0&lt;=2031),Inputs!$D$98,0)</f>
        <v>0.4</v>
      </c>
    </row>
    <row r="15" customFormat="false" ht="15" hidden="false" customHeight="false" outlineLevel="0" collapsed="false">
      <c r="B15" s="7" t="s">
        <v>768</v>
      </c>
    </row>
    <row r="20" customFormat="false" ht="15" hidden="false" customHeight="false" outlineLevel="0" collapsed="false">
      <c r="B20" s="1" t="s">
        <v>769</v>
      </c>
    </row>
    <row r="22" customFormat="false" ht="45" hidden="false" customHeight="true" outlineLevel="0" collapsed="false">
      <c r="B22" s="40" t="s">
        <v>1</v>
      </c>
      <c r="C22" s="40" t="s">
        <v>770</v>
      </c>
      <c r="D22" s="40" t="s">
        <v>771</v>
      </c>
      <c r="E22" s="40" t="s">
        <v>772</v>
      </c>
      <c r="F22" s="40" t="s">
        <v>773</v>
      </c>
      <c r="G22" s="40" t="s">
        <v>774</v>
      </c>
      <c r="H22" s="40" t="s">
        <v>775</v>
      </c>
      <c r="I22" s="40" t="s">
        <v>776</v>
      </c>
      <c r="J22" s="40" t="s">
        <v>777</v>
      </c>
      <c r="K22" s="40" t="s">
        <v>778</v>
      </c>
      <c r="L22" s="40" t="s">
        <v>779</v>
      </c>
    </row>
    <row r="23" customFormat="false" ht="15" hidden="false" customHeight="false" outlineLevel="0" collapsed="false">
      <c r="B23" s="5" t="s">
        <v>2</v>
      </c>
      <c r="C23" s="5" t="n">
        <v>10</v>
      </c>
      <c r="D23" s="6" t="n">
        <f aca="false">SUM(Balance!E35:H35)</f>
        <v>96.4343208672429</v>
      </c>
      <c r="E23" s="6" t="n">
        <f aca="false">SUM(Balance!E36:H36)</f>
        <v>150.008943571267</v>
      </c>
      <c r="F23" s="6" t="n">
        <f aca="false">Balance!H37+Balance!H38</f>
        <v>0</v>
      </c>
      <c r="G23" s="31" t="n">
        <f aca="false">Balance!H39</f>
        <v>0</v>
      </c>
      <c r="H23" s="6" t="n">
        <f aca="false">((Inputs!$D$77+SUMPRODUCT((Balance!$D$14:$D$25&lt;=2030)*(Balance!$F$14:$F$25&lt;=1)*(Balance!$H$14:$H$25="LNG")*Balance!$C$14:$C$25))*8.76*Inputs!$D$8/1000)*Inputs!$D$54/Inputs!$D$73/1000</f>
        <v>1.81110783639138</v>
      </c>
      <c r="I23" s="6" t="n">
        <f aca="false">((Inputs!$D$77+SUMPRODUCT((Balance!$D$14:$D$25&lt;=2030)*(Balance!$F$14:$F$25&lt;=1)*(Balance!$H$14:$H$25="LNG")*Balance!$C$14:$C$25))*8.76*Inputs!$D$8/1000)*(10+Inputs!$D$56)*Inputs!$D$54/1000/1000</f>
        <v>1.11788820093422</v>
      </c>
      <c r="J23" s="21" t="n">
        <f aca="false">Balance!H31</f>
        <v>4350</v>
      </c>
      <c r="K23" s="6" t="n">
        <f aca="false">(Inputs!$D$76*8.76*Inputs!$D$8)*(((10+Inputs!$D$56)*Inputs!$D$54/1000)+'Start here'!$C$17)/1000+MAX(0,((Inputs!$D$76*8.76*Inputs!$D$7)*Inputs!$D$3)-(Inputs!$D$76*8.76*Inputs!$D$8))*((((10+Inputs!$D$56)*Inputs!$D$54/1000)+'Start here'!$C$17)-(Inputs!$D$67/Inputs!$D$53*1000))/1000-(Inputs!$D$76*8.76*Inputs!$D$8)*(Inputs!$D$67/Inputs!$D$53*1000)/1000</f>
        <v>287.867704714253</v>
      </c>
      <c r="L23" s="38" t="n">
        <f aca="false">(((Inputs!$D$76*8.76*Inputs!$D$8)*(((10+Inputs!$D$56)*Inputs!$D$54/1000)+'Start here'!$C$17)/1000+MAX(0,((Inputs!$D$76*8.76*Inputs!$D$7)*Inputs!$D$3)-(Inputs!$D$76*8.76*Inputs!$D$8))*((((10+Inputs!$D$56)*Inputs!$D$54/1000)+'Start here'!$C$17)-(Inputs!$D$67/Inputs!$D$53*1000))/1000)-((Inputs!$D$76*8.76*Inputs!$D$8)*Inputs!$D$54/1000/1000*(10+Inputs!$D$56))-(MAX(0,((Inputs!$D$76*8.76*Inputs!$D$7)*Inputs!$D$3)*Inputs!$D$54/1000*Inputs!$D$9/1000-(Inputs!$D$76*8.76*Inputs!$D$8)*Inputs!$D$54/1000/1000)*(10+Inputs!$D$56)))/(Inputs!$D$76*'Start here'!$C$14/1000)</f>
        <v>0.900884980273796</v>
      </c>
    </row>
    <row r="24" customFormat="false" ht="15" hidden="false" customHeight="false" outlineLevel="0" collapsed="false">
      <c r="B24" s="5" t="s">
        <v>2</v>
      </c>
      <c r="C24" s="5" t="n">
        <v>15</v>
      </c>
      <c r="D24" s="6" t="n">
        <f aca="false">SUM(Balance!E35:H35)</f>
        <v>96.4343208672429</v>
      </c>
      <c r="E24" s="6" t="n">
        <f aca="false">SUM(Balance!E36:H36)</f>
        <v>150.008943571267</v>
      </c>
      <c r="F24" s="6" t="n">
        <f aca="false">Balance!H37+Balance!H38</f>
        <v>0</v>
      </c>
      <c r="G24" s="31" t="n">
        <f aca="false">Balance!H39</f>
        <v>0</v>
      </c>
      <c r="H24" s="6" t="n">
        <f aca="false">((Inputs!$D$77+SUMPRODUCT((Balance!$D$14:$D$25&lt;=2030)*(Balance!$F$14:$F$25&lt;=1)*(Balance!$H$14:$H$25="LNG")*Balance!$C$14:$C$25))*8.76*Inputs!$D$8/1000)*Inputs!$D$54/Inputs!$D$73/1000</f>
        <v>1.81110783639138</v>
      </c>
      <c r="I24" s="6" t="n">
        <f aca="false">((Inputs!$D$77+SUMPRODUCT((Balance!$D$14:$D$25&lt;=2030)*(Balance!$F$14:$F$25&lt;=1)*(Balance!$H$14:$H$25="LNG")*Balance!$C$14:$C$25))*8.76*Inputs!$D$8/1000)*(15+Inputs!$D$56)*Inputs!$D$54/1000/1000</f>
        <v>1.58877623839598</v>
      </c>
      <c r="J24" s="21" t="n">
        <f aca="false">Balance!H31</f>
        <v>4350</v>
      </c>
      <c r="K24" s="6" t="n">
        <f aca="false">(Inputs!$D$76*8.76*Inputs!$D$8)*(((15+Inputs!$D$56)*Inputs!$D$54/1000)+'Start here'!$C$17)/1000+MAX(0,((Inputs!$D$76*8.76*Inputs!$D$7)*Inputs!$D$3)-(Inputs!$D$76*8.76*Inputs!$D$8))*((((15+Inputs!$D$56)*Inputs!$D$54/1000)+'Start here'!$C$17)-(Inputs!$D$67/Inputs!$D$53*1000))/1000-(Inputs!$D$76*8.76*Inputs!$D$8)*(Inputs!$D$67/Inputs!$D$53*1000)/1000</f>
        <v>446.204065234253</v>
      </c>
      <c r="L24" s="38" t="n">
        <f aca="false">(((Inputs!$D$76*8.76*Inputs!$D$8)*(((15+Inputs!$D$56)*Inputs!$D$54/1000)+'Start here'!$C$17)/1000+MAX(0,((Inputs!$D$76*8.76*Inputs!$D$7)*Inputs!$D$3)-(Inputs!$D$76*8.76*Inputs!$D$8))*((((15+Inputs!$D$56)*Inputs!$D$54/1000)+'Start here'!$C$17)-(Inputs!$D$67/Inputs!$D$53*1000))/1000)-((Inputs!$D$76*8.76*Inputs!$D$8)*Inputs!$D$54/1000/1000*(15+Inputs!$D$56))-(MAX(0,((Inputs!$D$76*8.76*Inputs!$D$7)*Inputs!$D$3)*Inputs!$D$54/1000*Inputs!$D$9/1000-(Inputs!$D$76*8.76*Inputs!$D$8)*Inputs!$D$54/1000/1000)*(15+Inputs!$D$56)))/(Inputs!$D$76*'Start here'!$C$14/1000)</f>
        <v>1.03660186071951</v>
      </c>
    </row>
    <row r="25" customFormat="false" ht="15" hidden="false" customHeight="false" outlineLevel="0" collapsed="false">
      <c r="B25" s="5" t="s">
        <v>2</v>
      </c>
      <c r="C25" s="5" t="n">
        <v>25</v>
      </c>
      <c r="D25" s="6" t="n">
        <f aca="false">SUM(Balance!E35:H35)</f>
        <v>96.4343208672429</v>
      </c>
      <c r="E25" s="6" t="n">
        <f aca="false">SUM(Balance!E36:H36)</f>
        <v>150.008943571267</v>
      </c>
      <c r="F25" s="6" t="n">
        <f aca="false">Balance!H37+Balance!H38</f>
        <v>0</v>
      </c>
      <c r="G25" s="31" t="n">
        <f aca="false">Balance!H39</f>
        <v>0</v>
      </c>
      <c r="H25" s="6" t="n">
        <f aca="false">((Inputs!$D$77+SUMPRODUCT((Balance!$D$14:$D$25&lt;=2030)*(Balance!$F$14:$F$25&lt;=1)*(Balance!$H$14:$H$25="LNG")*Balance!$C$14:$C$25))*8.76*Inputs!$D$8/1000)*Inputs!$D$54/Inputs!$D$73/1000</f>
        <v>1.81110783639138</v>
      </c>
      <c r="I25" s="6" t="n">
        <f aca="false">((Inputs!$D$77+SUMPRODUCT((Balance!$D$14:$D$25&lt;=2030)*(Balance!$F$14:$F$25&lt;=1)*(Balance!$H$14:$H$25="LNG")*Balance!$C$14:$C$25))*8.76*Inputs!$D$8/1000)*(25+Inputs!$D$56)*Inputs!$D$54/1000/1000</f>
        <v>2.5305523133195</v>
      </c>
      <c r="J25" s="21" t="n">
        <f aca="false">Balance!H31</f>
        <v>4350</v>
      </c>
      <c r="K25" s="6" t="n">
        <f aca="false">(Inputs!$D$76*8.76*Inputs!$D$8)*(((25+Inputs!$D$56)*Inputs!$D$54/1000)+'Start here'!$C$17)/1000+MAX(0,((Inputs!$D$76*8.76*Inputs!$D$7)*Inputs!$D$3)-(Inputs!$D$76*8.76*Inputs!$D$8))*((((25+Inputs!$D$56)*Inputs!$D$54/1000)+'Start here'!$C$17)-(Inputs!$D$67/Inputs!$D$53*1000))/1000-(Inputs!$D$76*8.76*Inputs!$D$8)*(Inputs!$D$67/Inputs!$D$53*1000)/1000</f>
        <v>762.876786274253</v>
      </c>
      <c r="L25" s="38" t="n">
        <f aca="false">(((Inputs!$D$76*8.76*Inputs!$D$8)*(((25+Inputs!$D$56)*Inputs!$D$54/1000)+'Start here'!$C$17)/1000+MAX(0,((Inputs!$D$76*8.76*Inputs!$D$7)*Inputs!$D$3)-(Inputs!$D$76*8.76*Inputs!$D$8))*((((25+Inputs!$D$56)*Inputs!$D$54/1000)+'Start here'!$C$17)-(Inputs!$D$67/Inputs!$D$53*1000))/1000)-((Inputs!$D$76*8.76*Inputs!$D$8)*Inputs!$D$54/1000/1000*(25+Inputs!$D$56))-(MAX(0,((Inputs!$D$76*8.76*Inputs!$D$7)*Inputs!$D$3)*Inputs!$D$54/1000*Inputs!$D$9/1000-(Inputs!$D$76*8.76*Inputs!$D$8)*Inputs!$D$54/1000/1000)*(25+Inputs!$D$56)))/(Inputs!$D$76*'Start here'!$C$14/1000)</f>
        <v>1.30803562161094</v>
      </c>
    </row>
    <row r="26" customFormat="false" ht="15" hidden="false" customHeight="false" outlineLevel="0" collapsed="false">
      <c r="B26" s="5" t="s">
        <v>780</v>
      </c>
      <c r="C26" s="5" t="n">
        <v>10</v>
      </c>
      <c r="D26" s="6" t="n">
        <f aca="false">SUM(Balance!E47:H47)</f>
        <v>90.5196116148797</v>
      </c>
      <c r="E26" s="6" t="n">
        <f aca="false">SUM(Balance!E48:H48)</f>
        <v>140.808284734257</v>
      </c>
      <c r="F26" s="6" t="n">
        <f aca="false">Balance!H49+Balance!H50</f>
        <v>0</v>
      </c>
      <c r="G26" s="31" t="n">
        <f aca="false">Balance!H51</f>
        <v>0</v>
      </c>
      <c r="H26" s="6" t="n">
        <f aca="false">((Inputs!$D$77+SUMPRODUCT((Balance!$D$14:$D$25&lt;=2030)*(Balance!$F$14:$F$25&lt;=2)*(Balance!$H$14:$H$25="LNG")*Balance!$C$14:$C$25))*8.76*Inputs!$D$8/1000)*Inputs!$D$54/Inputs!$D$73/1000</f>
        <v>2.439382987776</v>
      </c>
      <c r="I26" s="6" t="n">
        <f aca="false">((Inputs!$D$77+SUMPRODUCT((Balance!$D$14:$D$25&lt;=2030)*(Balance!$F$14:$F$25&lt;=2)*(Balance!$H$14:$H$25="LNG")*Balance!$C$14:$C$25))*8.76*Inputs!$D$8/1000)*(10+Inputs!$D$56)*Inputs!$D$54/1000/1000</f>
        <v>1.50568475537486</v>
      </c>
      <c r="J26" s="21" t="n">
        <f aca="false">Balance!H43</f>
        <v>5700</v>
      </c>
      <c r="K26" s="6" t="n">
        <f aca="false">(Inputs!$D$76*8.76*Inputs!$D$8)*(((10+Inputs!$D$56)*Inputs!$D$54/1000)+'Start here'!$C$17)/1000+MAX(0,((Inputs!$D$76*8.76*Inputs!$D$7)*Inputs!$D$5)-(Inputs!$D$76*8.76*Inputs!$D$8))*((((10+Inputs!$D$56)*Inputs!$D$54/1000)+'Start here'!$C$17)-(Inputs!$D$67/Inputs!$D$53*1000))/1000-(Inputs!$D$76*8.76*Inputs!$D$8)*(Inputs!$D$67/Inputs!$D$53*1000)/1000</f>
        <v>332.155043901061</v>
      </c>
      <c r="L26" s="38" t="n">
        <f aca="false">(((Inputs!$D$76*8.76*Inputs!$D$8)*(((10+Inputs!$D$56)*Inputs!$D$54/1000)+'Start here'!$C$17)/1000+MAX(0,((Inputs!$D$76*8.76*Inputs!$D$7)*Inputs!$D$5)-(Inputs!$D$76*8.76*Inputs!$D$8))*((((10+Inputs!$D$56)*Inputs!$D$54/1000)+'Start here'!$C$17)-(Inputs!$D$67/Inputs!$D$53*1000))/1000)-((Inputs!$D$76*8.76*Inputs!$D$8)*Inputs!$D$54/1000/1000*(10+Inputs!$D$56))-(MAX(0,((Inputs!$D$76*8.76*Inputs!$D$7)*Inputs!$D$5)*Inputs!$D$54/1000*Inputs!$D$9/1000-(Inputs!$D$76*8.76*Inputs!$D$8)*Inputs!$D$54/1000/1000)*(10+Inputs!$D$56)))/(Inputs!$D$76*'Start here'!$C$14/1000)</f>
        <v>0.873070266270231</v>
      </c>
    </row>
    <row r="27" customFormat="false" ht="15" hidden="false" customHeight="false" outlineLevel="0" collapsed="false">
      <c r="B27" s="5" t="s">
        <v>780</v>
      </c>
      <c r="C27" s="5" t="n">
        <v>15</v>
      </c>
      <c r="D27" s="6" t="n">
        <f aca="false">SUM(Balance!E47:H47)</f>
        <v>90.5196116148797</v>
      </c>
      <c r="E27" s="6" t="n">
        <f aca="false">SUM(Balance!E48:H48)</f>
        <v>140.808284734257</v>
      </c>
      <c r="F27" s="6" t="n">
        <f aca="false">Balance!H49+Balance!H50</f>
        <v>0</v>
      </c>
      <c r="G27" s="31" t="n">
        <f aca="false">Balance!H51</f>
        <v>0</v>
      </c>
      <c r="H27" s="6" t="n">
        <f aca="false">((Inputs!$D$77+SUMPRODUCT((Balance!$D$14:$D$25&lt;=2030)*(Balance!$F$14:$F$25&lt;=2)*(Balance!$H$14:$H$25="LNG")*Balance!$C$14:$C$25))*8.76*Inputs!$D$8/1000)*Inputs!$D$54/Inputs!$D$73/1000</f>
        <v>2.439382987776</v>
      </c>
      <c r="I27" s="6" t="n">
        <f aca="false">((Inputs!$D$77+SUMPRODUCT((Balance!$D$14:$D$25&lt;=2030)*(Balance!$F$14:$F$25&lt;=2)*(Balance!$H$14:$H$25="LNG")*Balance!$C$14:$C$25))*8.76*Inputs!$D$8/1000)*(15+Inputs!$D$56)*Inputs!$D$54/1000/1000</f>
        <v>2.13992433219662</v>
      </c>
      <c r="J27" s="21" t="n">
        <f aca="false">Balance!H43</f>
        <v>5700</v>
      </c>
      <c r="K27" s="6" t="n">
        <f aca="false">(Inputs!$D$76*8.76*Inputs!$D$8)*(((15+Inputs!$D$56)*Inputs!$D$54/1000)+'Start here'!$C$17)/1000+MAX(0,((Inputs!$D$76*8.76*Inputs!$D$7)*Inputs!$D$5)-(Inputs!$D$76*8.76*Inputs!$D$8))*((((15+Inputs!$D$56)*Inputs!$D$54/1000)+'Start here'!$C$17)-(Inputs!$D$67/Inputs!$D$53*1000))/1000-(Inputs!$D$76*8.76*Inputs!$D$8)*(Inputs!$D$67/Inputs!$D$53*1000)/1000</f>
        <v>514.850844501061</v>
      </c>
      <c r="L27" s="38" t="n">
        <f aca="false">(((Inputs!$D$76*8.76*Inputs!$D$8)*(((15+Inputs!$D$56)*Inputs!$D$54/1000)+'Start here'!$C$17)/1000+MAX(0,((Inputs!$D$76*8.76*Inputs!$D$7)*Inputs!$D$5)-(Inputs!$D$76*8.76*Inputs!$D$8))*((((15+Inputs!$D$56)*Inputs!$D$54/1000)+'Start here'!$C$17)-(Inputs!$D$67/Inputs!$D$53*1000))/1000)-((Inputs!$D$76*8.76*Inputs!$D$8)*Inputs!$D$54/1000/1000*(15+Inputs!$D$56))-(MAX(0,((Inputs!$D$76*8.76*Inputs!$D$7)*Inputs!$D$5)*Inputs!$D$54/1000*Inputs!$D$9/1000-(Inputs!$D$76*8.76*Inputs!$D$8)*Inputs!$D$54/1000/1000)*(15+Inputs!$D$56)))/(Inputs!$D$76*'Start here'!$C$14/1000)</f>
        <v>1.02966666678452</v>
      </c>
    </row>
    <row r="28" customFormat="false" ht="15" hidden="false" customHeight="false" outlineLevel="0" collapsed="false">
      <c r="B28" s="5" t="s">
        <v>780</v>
      </c>
      <c r="C28" s="5" t="n">
        <v>25</v>
      </c>
      <c r="D28" s="6" t="n">
        <f aca="false">SUM(Balance!E47:H47)</f>
        <v>90.5196116148797</v>
      </c>
      <c r="E28" s="6" t="n">
        <f aca="false">SUM(Balance!E48:H48)</f>
        <v>140.808284734257</v>
      </c>
      <c r="F28" s="6" t="n">
        <f aca="false">Balance!H49+Balance!H50</f>
        <v>0</v>
      </c>
      <c r="G28" s="31" t="n">
        <f aca="false">Balance!H51</f>
        <v>0</v>
      </c>
      <c r="H28" s="6" t="n">
        <f aca="false">((Inputs!$D$77+SUMPRODUCT((Balance!$D$14:$D$25&lt;=2030)*(Balance!$F$14:$F$25&lt;=2)*(Balance!$H$14:$H$25="LNG")*Balance!$C$14:$C$25))*8.76*Inputs!$D$8/1000)*Inputs!$D$54/Inputs!$D$73/1000</f>
        <v>2.439382987776</v>
      </c>
      <c r="I28" s="6" t="n">
        <f aca="false">((Inputs!$D$77+SUMPRODUCT((Balance!$D$14:$D$25&lt;=2030)*(Balance!$F$14:$F$25&lt;=2)*(Balance!$H$14:$H$25="LNG")*Balance!$C$14:$C$25))*8.76*Inputs!$D$8/1000)*(25+Inputs!$D$56)*Inputs!$D$54/1000/1000</f>
        <v>3.40840348584014</v>
      </c>
      <c r="J28" s="21" t="n">
        <f aca="false">Balance!H43</f>
        <v>5700</v>
      </c>
      <c r="K28" s="6" t="n">
        <f aca="false">(Inputs!$D$76*8.76*Inputs!$D$8)*(((25+Inputs!$D$56)*Inputs!$D$54/1000)+'Start here'!$C$17)/1000+MAX(0,((Inputs!$D$76*8.76*Inputs!$D$7)*Inputs!$D$5)-(Inputs!$D$76*8.76*Inputs!$D$8))*((((25+Inputs!$D$56)*Inputs!$D$54/1000)+'Start here'!$C$17)-(Inputs!$D$67/Inputs!$D$53*1000))/1000-(Inputs!$D$76*8.76*Inputs!$D$8)*(Inputs!$D$67/Inputs!$D$53*1000)/1000</f>
        <v>880.242445701061</v>
      </c>
      <c r="L28" s="38" t="n">
        <f aca="false">(((Inputs!$D$76*8.76*Inputs!$D$8)*(((25+Inputs!$D$56)*Inputs!$D$54/1000)+'Start here'!$C$17)/1000+MAX(0,((Inputs!$D$76*8.76*Inputs!$D$7)*Inputs!$D$5)-(Inputs!$D$76*8.76*Inputs!$D$8))*((((25+Inputs!$D$56)*Inputs!$D$54/1000)+'Start here'!$C$17)-(Inputs!$D$67/Inputs!$D$53*1000))/1000)-((Inputs!$D$76*8.76*Inputs!$D$8)*Inputs!$D$54/1000/1000*(25+Inputs!$D$56))-(MAX(0,((Inputs!$D$76*8.76*Inputs!$D$7)*Inputs!$D$5)*Inputs!$D$54/1000*Inputs!$D$9/1000-(Inputs!$D$76*8.76*Inputs!$D$8)*Inputs!$D$54/1000/1000)*(25+Inputs!$D$56)))/(Inputs!$D$76*'Start here'!$C$14/1000)</f>
        <v>1.34285946781309</v>
      </c>
    </row>
    <row r="29" customFormat="false" ht="15" hidden="false" customHeight="false" outlineLevel="0" collapsed="false">
      <c r="B29" s="5" t="s">
        <v>781</v>
      </c>
      <c r="C29" s="5" t="n">
        <v>10</v>
      </c>
      <c r="D29" s="6" t="n">
        <f aca="false">SUM(Balance!E59:H59)</f>
        <v>58.7962327089681</v>
      </c>
      <c r="E29" s="6" t="n">
        <f aca="false">SUM(Balance!E60:H60)</f>
        <v>91.4608064361727</v>
      </c>
      <c r="F29" s="6" t="n">
        <f aca="false">Balance!H61+Balance!H62</f>
        <v>0.8106</v>
      </c>
      <c r="G29" s="31" t="n">
        <f aca="false">Balance!H63</f>
        <v>0.0343912404924743</v>
      </c>
      <c r="H29" s="6" t="n">
        <f aca="false">((Inputs!$D$77+SUMPRODUCT((Balance!$D$14:$D$25&lt;=2030)*(Balance!$F$14:$F$25&lt;=3)*(Balance!$H$14:$H$25="LNG")*Balance!$C$14:$C$25))*8.76*Inputs!$D$8/1000)*Inputs!$D$54/Inputs!$D$73/1000</f>
        <v>2.439382987776</v>
      </c>
      <c r="I29" s="6" t="n">
        <f aca="false">((Inputs!$D$77+SUMPRODUCT((Balance!$D$14:$D$25&lt;=2030)*(Balance!$F$14:$F$25&lt;=3)*(Balance!$H$14:$H$25="LNG")*Balance!$C$14:$C$25))*8.76*Inputs!$D$8/1000)*(10+Inputs!$D$56)*Inputs!$D$54/1000/1000</f>
        <v>1.50568475537486</v>
      </c>
      <c r="J29" s="21" t="n">
        <f aca="false">Balance!H55</f>
        <v>8500</v>
      </c>
      <c r="K29" s="6" t="n">
        <f aca="false">(Inputs!$D$76*8.76*Inputs!$D$8)*((10+Inputs!$D$56)*Inputs!$D$54/1000)/1000+Inputs!$D$76*'Start here'!$C$14/1000-(Inputs!$D$76*8.76*Inputs!$D$8)*(Inputs!$D$67/Inputs!$D$53*1000)/1000</f>
        <v>244.236927566791</v>
      </c>
      <c r="L29" s="38" t="n">
        <f aca="false">1</f>
        <v>1</v>
      </c>
    </row>
    <row r="30" customFormat="false" ht="15" hidden="false" customHeight="false" outlineLevel="0" collapsed="false">
      <c r="B30" s="5" t="s">
        <v>781</v>
      </c>
      <c r="C30" s="5" t="n">
        <v>15</v>
      </c>
      <c r="D30" s="6" t="n">
        <f aca="false">SUM(Balance!E59:H59)</f>
        <v>58.7962327089681</v>
      </c>
      <c r="E30" s="6" t="n">
        <f aca="false">SUM(Balance!E60:H60)</f>
        <v>91.4608064361727</v>
      </c>
      <c r="F30" s="6" t="n">
        <f aca="false">Balance!H61+Balance!H62</f>
        <v>0.8106</v>
      </c>
      <c r="G30" s="31" t="n">
        <f aca="false">Balance!H63</f>
        <v>0.0343912404924743</v>
      </c>
      <c r="H30" s="6" t="n">
        <f aca="false">((Inputs!$D$77+SUMPRODUCT((Balance!$D$14:$D$25&lt;=2030)*(Balance!$F$14:$F$25&lt;=3)*(Balance!$H$14:$H$25="LNG")*Balance!$C$14:$C$25))*8.76*Inputs!$D$8/1000)*Inputs!$D$54/Inputs!$D$73/1000</f>
        <v>2.439382987776</v>
      </c>
      <c r="I30" s="6" t="n">
        <f aca="false">((Inputs!$D$77+SUMPRODUCT((Balance!$D$14:$D$25&lt;=2030)*(Balance!$F$14:$F$25&lt;=3)*(Balance!$H$14:$H$25="LNG")*Balance!$C$14:$C$25))*8.76*Inputs!$D$8/1000)*(15+Inputs!$D$56)*Inputs!$D$54/1000/1000</f>
        <v>2.13992433219662</v>
      </c>
      <c r="J30" s="21" t="n">
        <f aca="false">Balance!H55</f>
        <v>8500</v>
      </c>
      <c r="K30" s="6" t="n">
        <f aca="false">(Inputs!$D$76*8.76*Inputs!$D$8)*((15+Inputs!$D$56)*Inputs!$D$54/1000)/1000+Inputs!$D$76*'Start here'!$C$14/1000-(Inputs!$D$76*8.76*Inputs!$D$8)*(Inputs!$D$67/Inputs!$D$53*1000)/1000</f>
        <v>353.137953806791</v>
      </c>
      <c r="L30" s="38" t="n">
        <f aca="false">1</f>
        <v>1</v>
      </c>
    </row>
    <row r="31" customFormat="false" ht="15" hidden="false" customHeight="false" outlineLevel="0" collapsed="false">
      <c r="B31" s="5" t="s">
        <v>781</v>
      </c>
      <c r="C31" s="5" t="n">
        <v>25</v>
      </c>
      <c r="D31" s="6" t="n">
        <f aca="false">SUM(Balance!E59:H59)</f>
        <v>58.7962327089681</v>
      </c>
      <c r="E31" s="6" t="n">
        <f aca="false">SUM(Balance!E60:H60)</f>
        <v>91.4608064361727</v>
      </c>
      <c r="F31" s="6" t="n">
        <f aca="false">Balance!H61+Balance!H62</f>
        <v>0.8106</v>
      </c>
      <c r="G31" s="31" t="n">
        <f aca="false">Balance!H63</f>
        <v>0.0343912404924743</v>
      </c>
      <c r="H31" s="6" t="n">
        <f aca="false">((Inputs!$D$77+SUMPRODUCT((Balance!$D$14:$D$25&lt;=2030)*(Balance!$F$14:$F$25&lt;=3)*(Balance!$H$14:$H$25="LNG")*Balance!$C$14:$C$25))*8.76*Inputs!$D$8/1000)*Inputs!$D$54/Inputs!$D$73/1000</f>
        <v>2.439382987776</v>
      </c>
      <c r="I31" s="6" t="n">
        <f aca="false">((Inputs!$D$77+SUMPRODUCT((Balance!$D$14:$D$25&lt;=2030)*(Balance!$F$14:$F$25&lt;=3)*(Balance!$H$14:$H$25="LNG")*Balance!$C$14:$C$25))*8.76*Inputs!$D$8/1000)*(25+Inputs!$D$56)*Inputs!$D$54/1000/1000</f>
        <v>3.40840348584014</v>
      </c>
      <c r="J31" s="21" t="n">
        <f aca="false">Balance!H55</f>
        <v>8500</v>
      </c>
      <c r="K31" s="6" t="n">
        <f aca="false">(Inputs!$D$76*8.76*Inputs!$D$8)*((25+Inputs!$D$56)*Inputs!$D$54/1000)/1000+Inputs!$D$76*'Start here'!$C$14/1000-(Inputs!$D$76*8.76*Inputs!$D$8)*(Inputs!$D$67/Inputs!$D$53*1000)/1000</f>
        <v>570.940006286791</v>
      </c>
      <c r="L31" s="38" t="n">
        <f aca="false">1</f>
        <v>1</v>
      </c>
    </row>
    <row r="33" customFormat="false" ht="15" hidden="false" customHeight="false" outlineLevel="0" collapsed="false">
      <c r="B33" s="7" t="s">
        <v>782</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2026-11-07T13:27:15Z</dcterms:created>
  <dc:creator>Marginal Barrel</dc:creator>
  <dc:description/>
  <dc:language>en-US</dc:language>
  <cp:lastModifiedBy>Marginal Barrel</cp:lastModifiedBy>
  <dcterms:modified xsi:type="dcterms:W3CDTF">2026-11-07T13:27:15Z</dcterms:modified>
  <cp:revision>0</cp:revision>
  <dc:subject/>
  <dc:title>vietnam-gas-power-balance-v1</dc:title>
</cp:coreProperties>
</file>

<file path=docProps/custom.xml><?xml version="1.0" encoding="utf-8"?>
<Properties xmlns="http://schemas.openxmlformats.org/officeDocument/2006/custom-properties" xmlns:vt="http://schemas.openxmlformats.org/officeDocument/2006/docPropsVTypes"/>
</file>