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xr:revisionPtr revIDLastSave="0" documentId="13_ncr:1_{3AB7D444-81EA-429E-B880-BC77EB87ACC8}" xr6:coauthVersionLast="47" xr6:coauthVersionMax="47" xr10:uidLastSave="{00000000-0000-0000-0000-000000000000}"/>
  <bookViews>
    <workbookView xWindow="-120" yWindow="-120" windowWidth="29040" windowHeight="15720" tabRatio="500" activeTab="3" xr2:uid="{00000000-000D-0000-FFFF-FFFF00000000}"/>
  </bookViews>
  <sheets>
    <sheet name="Cover" sheetId="1" r:id="rId1"/>
    <sheet name="Netback" sheetId="2" r:id="rId2"/>
    <sheet name="Freight" sheetId="3" r:id="rId3"/>
    <sheet name="Scenarios" sheetId="4" r:id="rId4"/>
    <sheet name="Sensitivity" sheetId="5" r:id="rId5"/>
    <sheet name="Sources" sheetId="6" r:id="rId6"/>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B20" i="5" l="1"/>
  <c r="B19" i="5"/>
  <c r="B18" i="5"/>
  <c r="B17" i="5"/>
  <c r="B16" i="5"/>
  <c r="B15" i="5"/>
  <c r="I14" i="5"/>
  <c r="H14" i="5"/>
  <c r="G14" i="5"/>
  <c r="F14" i="5"/>
  <c r="E14" i="5"/>
  <c r="D14" i="5"/>
  <c r="C14" i="5"/>
  <c r="E21" i="4"/>
  <c r="D21" i="4"/>
  <c r="E20" i="4"/>
  <c r="E22" i="4" s="1"/>
  <c r="E23" i="4" s="1"/>
  <c r="D20" i="4"/>
  <c r="D22" i="4" s="1"/>
  <c r="D23" i="4" s="1"/>
  <c r="C13" i="4"/>
  <c r="C12" i="4"/>
  <c r="E11" i="4"/>
  <c r="D11" i="4"/>
  <c r="C11" i="4"/>
  <c r="C8" i="4"/>
  <c r="E7" i="4"/>
  <c r="D7" i="4"/>
  <c r="C7" i="4"/>
  <c r="C6" i="4"/>
  <c r="E17" i="3"/>
  <c r="E18" i="3" s="1"/>
  <c r="D17" i="3"/>
  <c r="D18" i="3" s="1"/>
  <c r="C17" i="3"/>
  <c r="C18" i="3" s="1"/>
  <c r="C34" i="2"/>
  <c r="C24" i="2"/>
  <c r="C21" i="2"/>
  <c r="C17" i="2"/>
  <c r="C16" i="2"/>
  <c r="E18" i="4" l="1"/>
  <c r="E16" i="4"/>
  <c r="E17" i="4" s="1"/>
  <c r="E19" i="4" s="1"/>
  <c r="E24" i="4" s="1"/>
  <c r="D18" i="4"/>
  <c r="D16" i="4"/>
  <c r="D17" i="4" s="1"/>
  <c r="D19" i="4" s="1"/>
  <c r="D24" i="4" s="1"/>
  <c r="C16" i="4"/>
  <c r="E20" i="3"/>
  <c r="E19" i="3"/>
  <c r="E21" i="3" s="1"/>
  <c r="C10" i="2" s="1"/>
  <c r="D20" i="3"/>
  <c r="D19" i="3"/>
  <c r="D21" i="3" s="1"/>
  <c r="C20" i="3"/>
  <c r="C19" i="3"/>
  <c r="C21" i="3" s="1"/>
  <c r="C9" i="2" s="1"/>
  <c r="C23" i="2"/>
  <c r="D16" i="2"/>
  <c r="D17" i="2" s="1"/>
  <c r="C31" i="2" l="1"/>
  <c r="C10" i="4"/>
  <c r="C21" i="4" s="1"/>
  <c r="C19" i="2"/>
  <c r="C30" i="2"/>
  <c r="C9" i="4"/>
  <c r="C6" i="5"/>
  <c r="C15" i="5" s="1"/>
  <c r="D6" i="5"/>
  <c r="D15" i="5" s="1"/>
  <c r="E6" i="5"/>
  <c r="E15" i="5" s="1"/>
  <c r="F6" i="5"/>
  <c r="F15" i="5" s="1"/>
  <c r="G6" i="5"/>
  <c r="G15" i="5" s="1"/>
  <c r="H6" i="5"/>
  <c r="H15" i="5" s="1"/>
  <c r="I6" i="5"/>
  <c r="I15" i="5" s="1"/>
  <c r="C7" i="5"/>
  <c r="C16" i="5" s="1"/>
  <c r="C33" i="2"/>
  <c r="D7" i="5"/>
  <c r="D16" i="5" s="1"/>
  <c r="E7" i="5"/>
  <c r="E16" i="5" s="1"/>
  <c r="F7" i="5"/>
  <c r="F16" i="5" s="1"/>
  <c r="G7" i="5"/>
  <c r="G16" i="5" s="1"/>
  <c r="H7" i="5"/>
  <c r="H16" i="5" s="1"/>
  <c r="I7" i="5"/>
  <c r="I16" i="5" s="1"/>
  <c r="C8" i="5"/>
  <c r="C17" i="5" s="1"/>
  <c r="D8" i="5"/>
  <c r="D17" i="5" s="1"/>
  <c r="E8" i="5"/>
  <c r="E17" i="5" s="1"/>
  <c r="F8" i="5"/>
  <c r="F17" i="5" s="1"/>
  <c r="G8" i="5"/>
  <c r="G17" i="5" s="1"/>
  <c r="H8" i="5"/>
  <c r="H17" i="5" s="1"/>
  <c r="I8" i="5"/>
  <c r="I17" i="5" s="1"/>
  <c r="C9" i="5"/>
  <c r="C18" i="5" s="1"/>
  <c r="D9" i="5"/>
  <c r="D18" i="5" s="1"/>
  <c r="E9" i="5"/>
  <c r="E18" i="5" s="1"/>
  <c r="F9" i="5"/>
  <c r="F18" i="5" s="1"/>
  <c r="G9" i="5"/>
  <c r="G18" i="5" s="1"/>
  <c r="H9" i="5"/>
  <c r="H18" i="5" s="1"/>
  <c r="I9" i="5"/>
  <c r="I18" i="5" s="1"/>
  <c r="C10" i="5"/>
  <c r="C19" i="5" s="1"/>
  <c r="D10" i="5"/>
  <c r="D19" i="5" s="1"/>
  <c r="F10" i="5"/>
  <c r="F19" i="5" s="1"/>
  <c r="H10" i="5"/>
  <c r="H19" i="5" s="1"/>
  <c r="E11" i="5"/>
  <c r="E20" i="5" s="1"/>
  <c r="I11" i="5"/>
  <c r="I20" i="5" s="1"/>
  <c r="G10" i="5"/>
  <c r="G19" i="5" s="1"/>
  <c r="C11" i="5"/>
  <c r="C20" i="5" s="1"/>
  <c r="G11" i="5"/>
  <c r="G20" i="5" s="1"/>
  <c r="E10" i="5"/>
  <c r="E19" i="5" s="1"/>
  <c r="I10" i="5"/>
  <c r="I19" i="5" s="1"/>
  <c r="D11" i="5"/>
  <c r="D20" i="5" s="1"/>
  <c r="F11" i="5"/>
  <c r="F20" i="5" s="1"/>
  <c r="H11" i="5"/>
  <c r="H20" i="5" s="1"/>
  <c r="C18" i="2"/>
  <c r="D18" i="2"/>
  <c r="C32" i="2" l="1"/>
  <c r="C35" i="2" s="1"/>
  <c r="C37" i="2"/>
  <c r="C20" i="4"/>
  <c r="C22" i="4" s="1"/>
  <c r="C23" i="4" s="1"/>
  <c r="C17" i="4"/>
  <c r="C19" i="4" s="1"/>
  <c r="C24" i="4" s="1"/>
  <c r="C18" i="4"/>
  <c r="D19" i="2"/>
  <c r="C36" i="2"/>
  <c r="D20" i="2" l="1"/>
  <c r="D21" i="2" s="1"/>
  <c r="C20" i="2"/>
  <c r="C22" i="2" l="1"/>
  <c r="D22" i="2"/>
  <c r="C25" i="2"/>
  <c r="C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6" authorId="0" shapeId="0" xr:uid="{00000000-0006-0000-0100-000001000000}">
      <text>
        <r>
          <rPr>
            <sz val="10"/>
            <rFont val="Arial"/>
            <family val="2"/>
          </rPr>
          <t>NYMEX November 2026, 16 Oct 2026</t>
        </r>
      </text>
    </comment>
    <comment ref="C7" authorId="0" shapeId="0" xr:uid="{00000000-0006-0000-0100-000002000000}">
      <text>
        <r>
          <rPr>
            <sz val="10"/>
            <rFont val="Arial"/>
            <family val="2"/>
          </rPr>
          <t>Standard US tolling formula: offtaker pays 115% of Henry Hub for feedgas</t>
        </r>
      </text>
    </comment>
    <comment ref="C8" authorId="0" shapeId="0" xr:uid="{00000000-0006-0000-0100-000003000000}">
      <text>
        <r>
          <rPr>
            <sz val="10"/>
            <rFont val="Arial"/>
            <family val="2"/>
          </rPr>
          <t>Mid-point of legacy Sabine Pass / Cameron / Freeport-type contracts ($2.25–3.50). Newer second-wave deals ~$2.25–2.50.</t>
        </r>
      </text>
    </comment>
    <comment ref="C11" authorId="0" shapeId="0" xr:uid="{00000000-0006-0000-0100-000004000000}">
      <text>
        <r>
          <rPr>
            <sz val="10"/>
            <rFont val="Arial"/>
            <family val="2"/>
          </rPr>
          <t>Typical Japanese terminal tariff plus ~1–2% losses; $0.30–0.50 range</t>
        </r>
      </text>
    </comment>
    <comment ref="C12" authorId="0" shapeId="0" xr:uid="{00000000-0006-0000-0100-000005000000}">
      <text>
        <r>
          <rPr>
            <sz val="10"/>
            <rFont val="Arial"/>
            <family val="2"/>
          </rPr>
          <t>Platts JKM, December 2026 delivery, assessed 16 Oct 2026 (high $29s)</t>
        </r>
      </text>
    </comment>
    <comment ref="C13" authorId="0" shapeId="0" xr:uid="{00000000-0006-0000-0100-000006000000}">
      <text>
        <r>
          <rPr>
            <sz val="10"/>
            <rFont val="Arial"/>
            <family val="2"/>
          </rPr>
          <t>TTF November 2026, 16 Oct 2026, converted to $/MMBtu</t>
        </r>
      </text>
    </comment>
  </commentList>
</comments>
</file>

<file path=xl/sharedStrings.xml><?xml version="1.0" encoding="utf-8"?>
<sst xmlns="http://schemas.openxmlformats.org/spreadsheetml/2006/main" count="189" uniqueCount="173">
  <si>
    <t>Marginal Barrel</t>
  </si>
  <si>
    <t>LNG Netback Calculator — Henry Hub to Tokyo Bay</t>
  </si>
  <si>
    <t>Version</t>
  </si>
  <si>
    <t>1.0 — prices as of 16 October 2026</t>
  </si>
  <si>
    <t>Companion to</t>
  </si>
  <si>
    <t>"Who sets the price of LNG in 2027?" — marginalbarrel.com</t>
  </si>
  <si>
    <t>Licence</t>
  </si>
  <si>
    <t>For subscribers' own use. Please link to the post rather than redistributing the file.</t>
  </si>
  <si>
    <t>What this does</t>
  </si>
  <si>
    <t>Builds the delivered cost of a US Gulf Coast LNG cargo into Japan step by step — feedgas, liquefaction fee, freight, regas — and compares it with the JKM and TTF benchmarks. It then shows the scarcity gap (what the market is paying above the cost of the marginal US cargo), the FOB netback from each basin, and which way a flexible US cargo should sail. The Scenarios sheet runs the same arithmetic for three 2027 worlds; the Sensitivity sheet grids delivered cost against Henry Hub and the liquefaction fee.</t>
  </si>
  <si>
    <t>How to use it</t>
  </si>
  <si>
    <t>Amber cells, blue text</t>
  </si>
  <si>
    <t>Inputs. Change these. Everything else is a formula and is locked (no password — unprotect the sheet if you want to see or edit the logic).</t>
  </si>
  <si>
    <t>Grey cells, bold</t>
  </si>
  <si>
    <t>Key outputs.</t>
  </si>
  <si>
    <t>Units</t>
  </si>
  <si>
    <t>All prices in US$ per million Btu (MMBtu) unless the label says otherwise. Freight is built on the Freight sheet from day rates, distances and cargo size.</t>
  </si>
  <si>
    <t>Benchmarks</t>
  </si>
  <si>
    <t>JKM and TTF are treated as delivered (DES) prices. FOB netback = DES price minus freight. Regas is shown separately as the cost to reach the burner tip.</t>
  </si>
  <si>
    <t>Sources</t>
  </si>
  <si>
    <t>Listed on the Sources sheet with dates. Contract terms (fee, 115% feedgas factor, regas tariff) are Marginal Barrel estimates of standard terms, not quoted prices.</t>
  </si>
  <si>
    <t>Nothing in this file is investment, legal or financial advice. Check the numbers before you rely on them.</t>
  </si>
  <si>
    <t>Netback walk — US Gulf Coast cargo to Japan</t>
  </si>
  <si>
    <t>Change the amber cells. Freight comes from the Freight sheet.</t>
  </si>
  <si>
    <t>Inputs</t>
  </si>
  <si>
    <t>Value</t>
  </si>
  <si>
    <t>Unit</t>
  </si>
  <si>
    <t>Note</t>
  </si>
  <si>
    <t>Henry Hub (front month)</t>
  </si>
  <si>
    <t>$/MMBtu</t>
  </si>
  <si>
    <t>Front-month NYMEX. Re-check on the day you use this.</t>
  </si>
  <si>
    <t>Feedgas factor (fuel, shrink, pipeline)</t>
  </si>
  <si>
    <t>× HH</t>
  </si>
  <si>
    <t>Standard US tolling-agreement term. Some newer contracts use 1.10–1.12.</t>
  </si>
  <si>
    <t>Liquefaction fee (fixed, take-or-pay)</t>
  </si>
  <si>
    <t>Sunk for an existing offtaker (paid whether or not the cargo lifts); a real cost for a new project.</t>
  </si>
  <si>
    <t>Freight, USGC → Japan</t>
  </si>
  <si>
    <t>From the Freight sheet (route, day rate, days, fuel, canal).</t>
  </si>
  <si>
    <t>Freight, USGC → NW Europe</t>
  </si>
  <si>
    <t>From the Freight sheet.</t>
  </si>
  <si>
    <t>Regasification, port and in-tank losses</t>
  </si>
  <si>
    <t>Downstream of the DES point. Shown for the burner-tip comparison only.</t>
  </si>
  <si>
    <t>JKM (delivered Japan/Korea)</t>
  </si>
  <si>
    <t>Platts assessment, DES.</t>
  </si>
  <si>
    <t>TTF (NW Europe hub)</t>
  </si>
  <si>
    <t>Treated as the delivered value of a cargo into NW Europe (ignores regas and hub basis).</t>
  </si>
  <si>
    <t>The walk</t>
  </si>
  <si>
    <t>Cumulative</t>
  </si>
  <si>
    <t>How it is built</t>
  </si>
  <si>
    <t>Feedgas cost at the plant gate</t>
  </si>
  <si>
    <t>Henry Hub × feedgas factor</t>
  </si>
  <si>
    <t>+ Liquefaction fee</t>
  </si>
  <si>
    <t>Fixed tolling fee</t>
  </si>
  <si>
    <t>→ FOB cost, US Gulf Coast (long-run)</t>
  </si>
  <si>
    <t>What a new US cargo must earn free-on-board</t>
  </si>
  <si>
    <t>+ Freight to Japan</t>
  </si>
  <si>
    <t>Freight sheet</t>
  </si>
  <si>
    <t>→ Delivered cost, Japan (DES), long-run</t>
  </si>
  <si>
    <t>Comparable with JKM</t>
  </si>
  <si>
    <t>+ Regas and losses</t>
  </si>
  <si>
    <t>To the burner tip</t>
  </si>
  <si>
    <t>→ Cost at the burner tip, Japan</t>
  </si>
  <si>
    <t>Comparable with a utility's alternative fuel</t>
  </si>
  <si>
    <t>Short-run delivered cost (fee sunk)</t>
  </si>
  <si>
    <t>What an existing offtaker needs to lift rather than cancel</t>
  </si>
  <si>
    <t>JKM</t>
  </si>
  <si>
    <t>Market, DES</t>
  </si>
  <si>
    <t>Scarcity gap: JKM minus long-run delivered cost</t>
  </si>
  <si>
    <t>What the market pays above the cost of the marginal US cargo</t>
  </si>
  <si>
    <t>Scarcity gap as a multiple of delivered cost</t>
  </si>
  <si>
    <t>Where does a flexible US cargo go?</t>
  </si>
  <si>
    <t>FOB netback from Japan (JKM − freight to Asia)</t>
  </si>
  <si>
    <t>Netback to the Gulf Coast if the ship sails east</t>
  </si>
  <si>
    <t>FOB netback from Europe (TTF − freight to Europe)</t>
  </si>
  <si>
    <t>Netback if it sails to NW Europe</t>
  </si>
  <si>
    <t>Asia premium over Europe, FOB</t>
  </si>
  <si>
    <t>Positive: Asia wins the cargo. Negative: Europe wins.</t>
  </si>
  <si>
    <t>Freight differential Asia vs Europe</t>
  </si>
  <si>
    <t>JKM must exceed TTF by at least this to attract cargoes</t>
  </si>
  <si>
    <t>JKM − TTF spread</t>
  </si>
  <si>
    <t>Compare with the freight differential above</t>
  </si>
  <si>
    <t>Cargo sails to</t>
  </si>
  <si>
    <t>Margin over long-run FOB cost on the better route</t>
  </si>
  <si>
    <t>What the US offtaker earns above full cost</t>
  </si>
  <si>
    <t>Margin over short-run FOB cost (fee sunk)</t>
  </si>
  <si>
    <t>The lift-or-cancel decision</t>
  </si>
  <si>
    <t>Freight — from day rate, distance and cargo size to $/MMBtu</t>
  </si>
  <si>
    <t>Three routes. Change the amber cells; the Netback sheet uses column C (Asia) and column E (Europe).</t>
  </si>
  <si>
    <t>USGC → Japan via Cape</t>
  </si>
  <si>
    <t>USGC → Japan via Panama</t>
  </si>
  <si>
    <t>USGC → NW Europe</t>
  </si>
  <si>
    <t>One-way distance (nautical miles)</t>
  </si>
  <si>
    <t>Sabine Pass to Tokyo Bay / to Rotterdam; approximate great-circle routings</t>
  </si>
  <si>
    <t>Service speed (knots)</t>
  </si>
  <si>
    <t>Laden and ballast; 17–19 kn typical for a two-stroke 174k cbm vessel</t>
  </si>
  <si>
    <t>Port and canal waiting days, round trip</t>
  </si>
  <si>
    <t>Loading, discharge, canal queue</t>
  </si>
  <si>
    <t>Spot charter rate ($/day)</t>
  </si>
  <si>
    <t>Spark Commodities, 6 Oct 2026: Pacific $39,000, Atlantic $25,750</t>
  </si>
  <si>
    <t>Fuel and boil-off cost ($/day, round trip average)</t>
  </si>
  <si>
    <t>Bunker + LNG consumed as fuel; ~$25–40k/day at current LNG prices</t>
  </si>
  <si>
    <t>Canal fees per round trip ($)</t>
  </si>
  <si>
    <t>Panama neopanamax LNG transit ~$400–500k each way when slots are available</t>
  </si>
  <si>
    <t>Port, agency, insurance per voyage ($)</t>
  </si>
  <si>
    <t>War-risk premia have raised this for some routes</t>
  </si>
  <si>
    <t>Cargo size (cbm)</t>
  </si>
  <si>
    <t>Standard two-stroke carrier</t>
  </si>
  <si>
    <t>Cargo energy delivered (MMBtu)</t>
  </si>
  <si>
    <t>~174,000 cbm × 98% fill × 0.43 t/cbm × 51.6 MMBtu/t, after boil-off</t>
  </si>
  <si>
    <t>Calculation</t>
  </si>
  <si>
    <t>Sailing days, round trip</t>
  </si>
  <si>
    <t>Total voyage days</t>
  </si>
  <si>
    <t>Charter cost ($)</t>
  </si>
  <si>
    <t>Fuel, canal, port ($)</t>
  </si>
  <si>
    <t>Freight ($/MMBtu)</t>
  </si>
  <si>
    <t>Netback sheet uses C21 (Asia via Cape) and E21 (Europe). Switch C9 on the Netback sheet to =Freight!D21 to route via Panama.</t>
  </si>
  <si>
    <t>2027 scenarios — the same walk under three worlds</t>
  </si>
  <si>
    <t>Each column is self-contained. Freight and regas are taken from the other sheets unless overridden here.</t>
  </si>
  <si>
    <t>Spot, 16 Oct 2026</t>
  </si>
  <si>
    <t>2027: Hormuz open</t>
  </si>
  <si>
    <t>2027: Hormuz constrained</t>
  </si>
  <si>
    <t>Henry Hub ($/MMBtu)</t>
  </si>
  <si>
    <t>EIA July STEO: $3.49 for 2027</t>
  </si>
  <si>
    <t>Feedgas factor (× HH)</t>
  </si>
  <si>
    <t>Liquefaction fee ($/MMBtu)</t>
  </si>
  <si>
    <t>Second-wave fees could reprice; test 2.25–3.50</t>
  </si>
  <si>
    <t>Freight to Japan ($/MMBtu)</t>
  </si>
  <si>
    <t>95 newbuilds in 2027 push rates down if Hormuz opens; war-risk premia persist if not</t>
  </si>
  <si>
    <t>Freight to Europe ($/MMBtu)</t>
  </si>
  <si>
    <t>Regas and losses ($/MMBtu)</t>
  </si>
  <si>
    <t>JKM assumption ($/MMBtu)</t>
  </si>
  <si>
    <t>Open: mid-point of the $9–12 range. Constrained: mid-point of $18–28.</t>
  </si>
  <si>
    <t>TTF assumption ($/MMBtu)</t>
  </si>
  <si>
    <t>Open: Europe re-anchors to US cost + freight. Constrained: Europe keeps outbidding Asia.</t>
  </si>
  <si>
    <t>Outputs</t>
  </si>
  <si>
    <t>FOB cost, long-run</t>
  </si>
  <si>
    <t>Delivered cost Japan, long-run</t>
  </si>
  <si>
    <t>Delivered cost Japan, short-run (fee sunk)</t>
  </si>
  <si>
    <t>Scarcity gap (JKM − long-run delivered)</t>
  </si>
  <si>
    <t>Gap above ~$3 means supply cost is not what sets the price.</t>
  </si>
  <si>
    <t>FOB netback from Asia</t>
  </si>
  <si>
    <t>FOB netback from Europe</t>
  </si>
  <si>
    <t>Price-setting unit</t>
  </si>
  <si>
    <t>Rule of thumb used in the post: a gap under ~$3 means the US cargo is marginal again.</t>
  </si>
  <si>
    <t>Delivered cost to Japan ($/MMBtu) — Henry Hub × liquefaction fee</t>
  </si>
  <si>
    <t>Freight and feedgas factor from the Netback sheet. Amber cells on the axes are editable.</t>
  </si>
  <si>
    <t>Fee ↓  /  Henry Hub →</t>
  </si>
  <si>
    <t>Scarcity gap at current JKM ($/MMBtu) — JKM minus the delivered cost above</t>
  </si>
  <si>
    <t>Sources and notes</t>
  </si>
  <si>
    <t>Item</t>
  </si>
  <si>
    <t>Source</t>
  </si>
  <si>
    <t>As of</t>
  </si>
  <si>
    <t>Henry Hub, JKM, TTF</t>
  </si>
  <si>
    <t>Weekly price update, Canada LNG Group (NYMEX / Platts / ICE), https://www.canadalnggroup.com/natural-gas-prices-weekly-update-jkm-ttf-and-henry-hub-19-october-2026</t>
  </si>
  <si>
    <t>16 Oct 2026</t>
  </si>
  <si>
    <t>LNG spot charter rates</t>
  </si>
  <si>
    <t>Spark Commodities via Reuters / BOE Report, https://boereport.com/2026/10/07/europes-lng-demand-growing-fleet-size-to-pressure-shipping-rates-in-winter/</t>
  </si>
  <si>
    <t>6 Oct 2026</t>
  </si>
  <si>
    <t>US export volumes and 2027 outlook</t>
  </si>
  <si>
    <t>EIA Today in Energy, https://www.eia.gov/todayinenergy/detail.php?id=68064</t>
  </si>
  <si>
    <t>Sep 2026</t>
  </si>
  <si>
    <t>Henry Hub 2027 forecast ($3.49)</t>
  </si>
  <si>
    <t>EIA July 2026 STEO via Rigzone</t>
  </si>
  <si>
    <t>Jul 2026</t>
  </si>
  <si>
    <t>Qatar outage, NFE timing</t>
  </si>
  <si>
    <t>Oil &amp; Gas Journal 22 Sep 2026; Enterprise 12 Oct 2026</t>
  </si>
  <si>
    <t>Oct 2026</t>
  </si>
  <si>
    <t>Feedgas factor, liquefaction fee, regas tariff</t>
  </si>
  <si>
    <t>Marginal Barrel estimates of standard contract terms; not quoted prices</t>
  </si>
  <si>
    <t>—</t>
  </si>
  <si>
    <t>Distances, speeds, cargo energy</t>
  </si>
  <si>
    <t>Marginal Barrel estimates; round numbers, edit to your own routing</t>
  </si>
  <si>
    <t>Marginal Barrel — marginalbarrel.com. Not investment advice.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</si>
</sst>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x"/>
    <numFmt numFmtId="165" formatCode="0.0"/>
  </numFmts>
  <fonts count="12" x14ac:knownFonts="1">
    <font>
      <sz val="11"/>
      <color theme="1"/>
      <name val="Calibri"/>
      <family val="2"/>
      <charset val="1"/>
    </font>
    <font>
      <b/>
      <sz val="22"/>
      <color rgb="FF121826"/>
      <name val="Arial"/>
      <charset val="1"/>
    </font>
    <font>
      <sz val="13"/>
      <color rgb="FF4A5568"/>
      <name val="Arial"/>
      <charset val="1"/>
    </font>
    <font>
      <b/>
      <sz val="10"/>
      <color rgb="FF121826"/>
      <name val="Arial"/>
      <charset val="1"/>
    </font>
    <font>
      <sz val="10"/>
      <color rgb="FF121826"/>
      <name val="Arial"/>
      <charset val="1"/>
    </font>
    <font>
      <b/>
      <sz val="11"/>
      <color rgb="FF121826"/>
      <name val="Arial"/>
      <charset val="1"/>
    </font>
    <font>
      <sz val="10"/>
      <color rgb="FF0000FF"/>
      <name val="Arial"/>
      <charset val="1"/>
    </font>
    <font>
      <i/>
      <sz val="9"/>
      <color rgb="FF4A5568"/>
      <name val="Arial"/>
      <charset val="1"/>
    </font>
    <font>
      <b/>
      <sz val="16"/>
      <color rgb="FF121826"/>
      <name val="Arial"/>
      <charset val="1"/>
    </font>
    <font>
      <b/>
      <sz val="11"/>
      <color rgb="FFFFFFFF"/>
      <name val="Arial"/>
      <charset val="1"/>
    </font>
    <font>
      <sz val="10"/>
      <name val="Arial"/>
      <family val="2"/>
    </font>
    <font>
      <sz val="10"/>
      <color rgb="FF008000"/>
      <name val="Arial"/>
      <charset val="1"/>
    </font>
  </fonts>
  <fills count="6">
    <fill>
      <patternFill patternType="none"/>
    </fill>
    <fill>
      <patternFill patternType="gray125"/>
    </fill>
    <fill>
      <patternFill patternType="solid">
        <fgColor rgb="FFFDEBC8"/>
        <bgColor rgb="FFF5F7FA"/>
      </patternFill>
    </fill>
    <fill>
      <patternFill patternType="solid">
        <fgColor rgb="FFF5F7FA"/>
        <bgColor rgb="FFFFFFFF"/>
      </patternFill>
    </fill>
    <fill>
      <patternFill patternType="solid">
        <fgColor rgb="FF121826"/>
        <bgColor rgb="FF000000"/>
      </patternFill>
    </fill>
    <fill>
      <patternFill patternType="solid">
        <fgColor rgb="FFF0A33A"/>
        <bgColor rgb="FFFF8080"/>
      </patternFill>
    </fill>
  </fills>
  <borders count="2">
    <border>
      <left/>
      <right/>
      <top/>
      <bottom/>
      <diagonal/>
    </border>
    <border>
      <left style="thin">
        <color rgb="FFD9DEE6"/>
      </left>
      <right style="thin">
        <color rgb="FFD9DEE6"/>
      </right>
      <top style="thin">
        <color rgb="FFD9DEE6"/>
      </top>
      <bottom style="thin">
        <color rgb="FFD9DEE6"/>
      </bottom>
      <diagonal/>
    </border>
  </borders>
  <cellStyleXfs count="1">
    <xf numFmtId="0" fontId="0" fillId="0" borderId="0"/>
  </cellStyleXfs>
  <cellXfs count="33">
    <xf numFmtId="0" fontId="0" fillId="0" borderId="0" xfId="0"/>
    <xf numFmtId="0" fontId="7" fillId="0" borderId="0" xfId="0" applyFont="1"/>
    <xf numFmtId="0" fontId="4" fillId="0" borderId="0" xfId="0" applyFont="1" applyAlignment="1">
      <alignment vertical="top" wrapText="1"/>
    </xf>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4" fillId="0" borderId="0" xfId="0" applyFont="1" applyAlignment="1">
      <alignment vertical="top" wrapText="1"/>
    </xf>
    <xf numFmtId="0" fontId="6" fillId="2" borderId="0" xfId="0" applyFont="1" applyFill="1"/>
    <xf numFmtId="0" fontId="3" fillId="3" borderId="0" xfId="0" applyFont="1" applyFill="1"/>
    <xf numFmtId="0" fontId="7" fillId="0" borderId="0" xfId="0" applyFont="1"/>
    <xf numFmtId="0" fontId="8" fillId="0" borderId="0" xfId="0" applyFont="1"/>
    <xf numFmtId="0" fontId="9" fillId="4" borderId="1" xfId="0" applyFont="1" applyFill="1" applyBorder="1" applyAlignment="1">
      <alignment vertical="center" wrapText="1"/>
    </xf>
    <xf numFmtId="0" fontId="4" fillId="0" borderId="0" xfId="0" applyFont="1" applyAlignment="1">
      <alignment vertical="center" wrapText="1"/>
    </xf>
    <xf numFmtId="2" fontId="6" fillId="2" borderId="1" xfId="0" applyNumberFormat="1" applyFont="1" applyFill="1" applyBorder="1" applyProtection="1">
      <protection locked="0"/>
    </xf>
    <xf numFmtId="0" fontId="7" fillId="0" borderId="0" xfId="0" applyFont="1" applyAlignment="1">
      <alignment vertical="center" wrapText="1"/>
    </xf>
    <xf numFmtId="2" fontId="4" fillId="0" borderId="1" xfId="0" applyNumberFormat="1" applyFont="1" applyBorder="1"/>
    <xf numFmtId="2" fontId="3" fillId="3" borderId="1" xfId="0" applyNumberFormat="1" applyFont="1" applyFill="1" applyBorder="1"/>
    <xf numFmtId="0" fontId="0" fillId="0" borderId="1" xfId="0" applyBorder="1"/>
    <xf numFmtId="164" fontId="3" fillId="3" borderId="1" xfId="0" applyNumberFormat="1" applyFont="1" applyFill="1" applyBorder="1"/>
    <xf numFmtId="0" fontId="3" fillId="5" borderId="1" xfId="0" applyFont="1" applyFill="1" applyBorder="1" applyAlignment="1">
      <alignment horizontal="center"/>
    </xf>
    <xf numFmtId="3" fontId="6" fillId="2" borderId="1" xfId="0" applyNumberFormat="1" applyFont="1" applyFill="1" applyBorder="1" applyProtection="1">
      <protection locked="0"/>
    </xf>
    <xf numFmtId="165" fontId="6" fillId="2" borderId="1" xfId="0" applyNumberFormat="1" applyFont="1" applyFill="1" applyBorder="1" applyProtection="1">
      <protection locked="0"/>
    </xf>
    <xf numFmtId="1" fontId="6" fillId="2" borderId="1" xfId="0" applyNumberFormat="1" applyFont="1" applyFill="1" applyBorder="1" applyProtection="1">
      <protection locked="0"/>
    </xf>
    <xf numFmtId="165" fontId="4" fillId="0" borderId="1" xfId="0" applyNumberFormat="1" applyFont="1" applyBorder="1"/>
    <xf numFmtId="3" fontId="4" fillId="0" borderId="1" xfId="0" applyNumberFormat="1" applyFont="1" applyBorder="1"/>
    <xf numFmtId="0" fontId="7" fillId="0" borderId="0" xfId="0" applyFont="1" applyAlignment="1">
      <alignment wrapText="1"/>
    </xf>
    <xf numFmtId="2" fontId="11" fillId="2" borderId="1" xfId="0" applyNumberFormat="1" applyFont="1" applyFill="1" applyBorder="1" applyProtection="1">
      <protection locked="0"/>
    </xf>
    <xf numFmtId="0" fontId="3" fillId="3" borderId="1" xfId="0" applyFont="1" applyFill="1" applyBorder="1" applyAlignment="1">
      <alignment horizontal="center" wrapText="1"/>
    </xf>
    <xf numFmtId="0" fontId="9" fillId="4" borderId="0" xfId="0" applyFont="1" applyFill="1"/>
    <xf numFmtId="0" fontId="4" fillId="0" borderId="1" xfId="0" applyFont="1" applyBorder="1"/>
    <xf numFmtId="0" fontId="4" fillId="0" borderId="1" xfId="0" applyFont="1" applyBorder="1" applyAlignment="1">
      <alignmen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BC8"/>
      <rgbColor rgb="FFF5F7FA"/>
      <rgbColor rgb="FF660066"/>
      <rgbColor rgb="FFFF8080"/>
      <rgbColor rgb="FF0066CC"/>
      <rgbColor rgb="FFD9DEE6"/>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0A33A"/>
      <rgbColor rgb="FFFF6600"/>
      <rgbColor rgb="FF4A5568"/>
      <rgbColor rgb="FF969696"/>
      <rgbColor rgb="FF003366"/>
      <rgbColor rgb="FF339966"/>
      <rgbColor rgb="FF121826"/>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C19"/>
  <sheetViews>
    <sheetView showGridLines="0" topLeftCell="A6" zoomScaleNormal="100" workbookViewId="0">
      <selection activeCell="B16" sqref="B16"/>
    </sheetView>
  </sheetViews>
  <sheetFormatPr defaultColWidth="8.7109375" defaultRowHeight="15" x14ac:dyDescent="0.25"/>
  <cols>
    <col min="1" max="1" width="3" customWidth="1"/>
    <col min="2" max="2" width="34" customWidth="1"/>
    <col min="3" max="3" width="70" customWidth="1"/>
  </cols>
  <sheetData>
    <row r="2" spans="2:3" ht="27.75" x14ac:dyDescent="0.4">
      <c r="B2" s="3" t="s">
        <v>0</v>
      </c>
    </row>
    <row r="3" spans="2:3" ht="16.5" x14ac:dyDescent="0.25">
      <c r="B3" s="4" t="s">
        <v>1</v>
      </c>
    </row>
    <row r="5" spans="2:3" x14ac:dyDescent="0.25">
      <c r="B5" s="5" t="s">
        <v>2</v>
      </c>
      <c r="C5" s="6" t="s">
        <v>3</v>
      </c>
    </row>
    <row r="6" spans="2:3" x14ac:dyDescent="0.25">
      <c r="B6" s="5" t="s">
        <v>4</v>
      </c>
      <c r="C6" s="6" t="s">
        <v>5</v>
      </c>
    </row>
    <row r="7" spans="2:3" x14ac:dyDescent="0.25">
      <c r="B7" s="5" t="s">
        <v>6</v>
      </c>
      <c r="C7" s="6" t="s">
        <v>7</v>
      </c>
    </row>
    <row r="9" spans="2:3" x14ac:dyDescent="0.25">
      <c r="B9" s="7" t="s">
        <v>8</v>
      </c>
    </row>
    <row r="10" spans="2:3" ht="96" customHeight="1" x14ac:dyDescent="0.25">
      <c r="B10" s="2" t="s">
        <v>9</v>
      </c>
      <c r="C10" s="2"/>
    </row>
    <row r="12" spans="2:3" x14ac:dyDescent="0.25">
      <c r="B12" s="7" t="s">
        <v>10</v>
      </c>
    </row>
    <row r="13" spans="2:3" ht="31.5" customHeight="1" x14ac:dyDescent="0.25">
      <c r="B13" s="9" t="s">
        <v>11</v>
      </c>
      <c r="C13" s="8" t="s">
        <v>12</v>
      </c>
    </row>
    <row r="14" spans="2:3" ht="31.5" customHeight="1" x14ac:dyDescent="0.25">
      <c r="B14" s="10" t="s">
        <v>13</v>
      </c>
      <c r="C14" s="8" t="s">
        <v>14</v>
      </c>
    </row>
    <row r="15" spans="2:3" ht="31.5" customHeight="1" x14ac:dyDescent="0.25">
      <c r="B15" s="5" t="s">
        <v>15</v>
      </c>
      <c r="C15" s="8" t="s">
        <v>16</v>
      </c>
    </row>
    <row r="16" spans="2:3" ht="31.5" customHeight="1" x14ac:dyDescent="0.25">
      <c r="B16" s="5" t="s">
        <v>17</v>
      </c>
      <c r="C16" s="8" t="s">
        <v>18</v>
      </c>
    </row>
    <row r="17" spans="2:3" ht="31.5" customHeight="1" x14ac:dyDescent="0.25">
      <c r="B17" s="5" t="s">
        <v>19</v>
      </c>
      <c r="C17" s="8" t="s">
        <v>20</v>
      </c>
    </row>
    <row r="19" spans="2:3" x14ac:dyDescent="0.25">
      <c r="B19" s="1" t="s">
        <v>21</v>
      </c>
      <c r="C19" s="1"/>
    </row>
  </sheetData>
  <mergeCells count="2">
    <mergeCell ref="B10:C10"/>
    <mergeCell ref="B19:C19"/>
  </mergeCells>
  <pageMargins left="0.75" right="0.75" top="1" bottom="1"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E37"/>
  <sheetViews>
    <sheetView showGridLines="0" zoomScaleNormal="100" workbookViewId="0">
      <pane xSplit="1" ySplit="5" topLeftCell="B7" activePane="bottomRight" state="frozen"/>
      <selection pane="topRight" activeCell="B1" sqref="B1"/>
      <selection pane="bottomLeft" activeCell="A6" sqref="A6"/>
      <selection pane="bottomRight" activeCell="C7" sqref="C7"/>
    </sheetView>
  </sheetViews>
  <sheetFormatPr defaultColWidth="8.7109375" defaultRowHeight="15" x14ac:dyDescent="0.25"/>
  <cols>
    <col min="1" max="1" width="3" customWidth="1"/>
    <col min="2" max="2" width="46" customWidth="1"/>
    <col min="3" max="4" width="14" customWidth="1"/>
    <col min="5" max="5" width="60" customWidth="1"/>
  </cols>
  <sheetData>
    <row r="2" spans="2:5" ht="20.25" x14ac:dyDescent="0.3">
      <c r="B2" s="12" t="s">
        <v>22</v>
      </c>
    </row>
    <row r="3" spans="2:5" x14ac:dyDescent="0.25">
      <c r="B3" s="11" t="s">
        <v>23</v>
      </c>
    </row>
    <row r="5" spans="2:5" x14ac:dyDescent="0.25">
      <c r="B5" s="13" t="s">
        <v>24</v>
      </c>
      <c r="C5" s="13" t="s">
        <v>25</v>
      </c>
      <c r="D5" s="13" t="s">
        <v>26</v>
      </c>
      <c r="E5" s="13" t="s">
        <v>27</v>
      </c>
    </row>
    <row r="6" spans="2:5" ht="30" customHeight="1" x14ac:dyDescent="0.25">
      <c r="B6" s="14" t="s">
        <v>28</v>
      </c>
      <c r="C6" s="15">
        <v>3.1</v>
      </c>
      <c r="D6" s="11" t="s">
        <v>29</v>
      </c>
      <c r="E6" s="16" t="s">
        <v>30</v>
      </c>
    </row>
    <row r="7" spans="2:5" ht="30" customHeight="1" x14ac:dyDescent="0.25">
      <c r="B7" s="14" t="s">
        <v>31</v>
      </c>
      <c r="C7" s="15">
        <v>1.1499999999999999</v>
      </c>
      <c r="D7" s="11" t="s">
        <v>32</v>
      </c>
      <c r="E7" s="16" t="s">
        <v>33</v>
      </c>
    </row>
    <row r="8" spans="2:5" ht="30" customHeight="1" x14ac:dyDescent="0.25">
      <c r="B8" s="14" t="s">
        <v>34</v>
      </c>
      <c r="C8" s="15">
        <v>2.75</v>
      </c>
      <c r="D8" s="11" t="s">
        <v>29</v>
      </c>
      <c r="E8" s="16" t="s">
        <v>35</v>
      </c>
    </row>
    <row r="9" spans="2:5" ht="30" customHeight="1" x14ac:dyDescent="0.25">
      <c r="B9" s="14" t="s">
        <v>36</v>
      </c>
      <c r="C9" s="17">
        <f>Freight!C21</f>
        <v>1.4313777777777779</v>
      </c>
      <c r="D9" s="11" t="s">
        <v>29</v>
      </c>
      <c r="E9" s="16" t="s">
        <v>37</v>
      </c>
    </row>
    <row r="10" spans="2:5" ht="30" customHeight="1" x14ac:dyDescent="0.25">
      <c r="B10" s="14" t="s">
        <v>38</v>
      </c>
      <c r="C10" s="17">
        <f>Freight!E21</f>
        <v>0.44206913580246915</v>
      </c>
      <c r="D10" s="11" t="s">
        <v>29</v>
      </c>
      <c r="E10" s="16" t="s">
        <v>39</v>
      </c>
    </row>
    <row r="11" spans="2:5" ht="30" customHeight="1" x14ac:dyDescent="0.25">
      <c r="B11" s="14" t="s">
        <v>40</v>
      </c>
      <c r="C11" s="15">
        <v>0.4</v>
      </c>
      <c r="D11" s="11" t="s">
        <v>29</v>
      </c>
      <c r="E11" s="16" t="s">
        <v>41</v>
      </c>
    </row>
    <row r="12" spans="2:5" ht="30" customHeight="1" x14ac:dyDescent="0.25">
      <c r="B12" s="14" t="s">
        <v>42</v>
      </c>
      <c r="C12" s="15">
        <v>29.5</v>
      </c>
      <c r="D12" s="11" t="s">
        <v>29</v>
      </c>
      <c r="E12" s="16" t="s">
        <v>43</v>
      </c>
    </row>
    <row r="13" spans="2:5" ht="30" customHeight="1" x14ac:dyDescent="0.25">
      <c r="B13" s="14" t="s">
        <v>44</v>
      </c>
      <c r="C13" s="15">
        <v>28.9</v>
      </c>
      <c r="D13" s="11" t="s">
        <v>29</v>
      </c>
      <c r="E13" s="16" t="s">
        <v>45</v>
      </c>
    </row>
    <row r="15" spans="2:5" x14ac:dyDescent="0.25">
      <c r="B15" s="13" t="s">
        <v>46</v>
      </c>
      <c r="C15" s="13" t="s">
        <v>29</v>
      </c>
      <c r="D15" s="13" t="s">
        <v>47</v>
      </c>
      <c r="E15" s="13" t="s">
        <v>48</v>
      </c>
    </row>
    <row r="16" spans="2:5" x14ac:dyDescent="0.25">
      <c r="B16" s="14" t="s">
        <v>49</v>
      </c>
      <c r="C16" s="17">
        <f>C6*C7</f>
        <v>3.5649999999999999</v>
      </c>
      <c r="D16" s="17">
        <f>C16</f>
        <v>3.5649999999999999</v>
      </c>
      <c r="E16" s="11" t="s">
        <v>50</v>
      </c>
    </row>
    <row r="17" spans="2:5" x14ac:dyDescent="0.25">
      <c r="B17" s="14" t="s">
        <v>51</v>
      </c>
      <c r="C17" s="17">
        <f>C8</f>
        <v>2.75</v>
      </c>
      <c r="D17" s="17">
        <f>D16+C17</f>
        <v>6.3149999999999995</v>
      </c>
      <c r="E17" s="11" t="s">
        <v>52</v>
      </c>
    </row>
    <row r="18" spans="2:5" x14ac:dyDescent="0.25">
      <c r="B18" s="14" t="s">
        <v>53</v>
      </c>
      <c r="C18" s="18">
        <f>D17</f>
        <v>6.3149999999999995</v>
      </c>
      <c r="D18" s="17">
        <f>D17</f>
        <v>6.3149999999999995</v>
      </c>
      <c r="E18" s="11" t="s">
        <v>54</v>
      </c>
    </row>
    <row r="19" spans="2:5" x14ac:dyDescent="0.25">
      <c r="B19" s="14" t="s">
        <v>55</v>
      </c>
      <c r="C19" s="17">
        <f>C9</f>
        <v>1.4313777777777779</v>
      </c>
      <c r="D19" s="17">
        <f>D18+C19</f>
        <v>7.7463777777777771</v>
      </c>
      <c r="E19" s="11" t="s">
        <v>56</v>
      </c>
    </row>
    <row r="20" spans="2:5" x14ac:dyDescent="0.25">
      <c r="B20" s="14" t="s">
        <v>57</v>
      </c>
      <c r="C20" s="18">
        <f>D19</f>
        <v>7.7463777777777771</v>
      </c>
      <c r="D20" s="17">
        <f>D19</f>
        <v>7.7463777777777771</v>
      </c>
      <c r="E20" s="11" t="s">
        <v>58</v>
      </c>
    </row>
    <row r="21" spans="2:5" x14ac:dyDescent="0.25">
      <c r="B21" s="14" t="s">
        <v>59</v>
      </c>
      <c r="C21" s="17">
        <f>C11</f>
        <v>0.4</v>
      </c>
      <c r="D21" s="17">
        <f>D20+C21</f>
        <v>8.1463777777777775</v>
      </c>
      <c r="E21" s="11" t="s">
        <v>60</v>
      </c>
    </row>
    <row r="22" spans="2:5" x14ac:dyDescent="0.25">
      <c r="B22" s="14" t="s">
        <v>61</v>
      </c>
      <c r="C22" s="18">
        <f>D21</f>
        <v>8.1463777777777775</v>
      </c>
      <c r="D22" s="17">
        <f>D21</f>
        <v>8.1463777777777775</v>
      </c>
      <c r="E22" s="11" t="s">
        <v>62</v>
      </c>
    </row>
    <row r="23" spans="2:5" x14ac:dyDescent="0.25">
      <c r="B23" s="14" t="s">
        <v>63</v>
      </c>
      <c r="C23" s="18">
        <f>C16+C9</f>
        <v>4.996377777777778</v>
      </c>
      <c r="D23" s="19"/>
      <c r="E23" s="11" t="s">
        <v>64</v>
      </c>
    </row>
    <row r="24" spans="2:5" x14ac:dyDescent="0.25">
      <c r="B24" s="14" t="s">
        <v>65</v>
      </c>
      <c r="C24" s="18">
        <f>C12</f>
        <v>29.5</v>
      </c>
      <c r="D24" s="19"/>
      <c r="E24" s="11" t="s">
        <v>66</v>
      </c>
    </row>
    <row r="25" spans="2:5" x14ac:dyDescent="0.25">
      <c r="B25" s="14" t="s">
        <v>67</v>
      </c>
      <c r="C25" s="18">
        <f>C24-C20</f>
        <v>21.753622222222223</v>
      </c>
      <c r="D25" s="19"/>
      <c r="E25" s="11" t="s">
        <v>68</v>
      </c>
    </row>
    <row r="26" spans="2:5" x14ac:dyDescent="0.25">
      <c r="B26" s="14" t="s">
        <v>69</v>
      </c>
      <c r="C26" s="20">
        <f>IF(C20=0,0,C24/C20)</f>
        <v>3.8082315175264716</v>
      </c>
      <c r="D26" s="19"/>
      <c r="E26" s="11"/>
    </row>
    <row r="29" spans="2:5" x14ac:dyDescent="0.25">
      <c r="B29" s="13" t="s">
        <v>70</v>
      </c>
      <c r="C29" s="13" t="s">
        <v>29</v>
      </c>
      <c r="D29" s="13"/>
      <c r="E29" s="13" t="s">
        <v>48</v>
      </c>
    </row>
    <row r="30" spans="2:5" x14ac:dyDescent="0.25">
      <c r="B30" s="14" t="s">
        <v>71</v>
      </c>
      <c r="C30" s="17">
        <f>C12-C9</f>
        <v>28.068622222222221</v>
      </c>
      <c r="E30" s="11" t="s">
        <v>72</v>
      </c>
    </row>
    <row r="31" spans="2:5" x14ac:dyDescent="0.25">
      <c r="B31" s="14" t="s">
        <v>73</v>
      </c>
      <c r="C31" s="17">
        <f>C13-C10</f>
        <v>28.457930864197529</v>
      </c>
      <c r="E31" s="11" t="s">
        <v>74</v>
      </c>
    </row>
    <row r="32" spans="2:5" x14ac:dyDescent="0.25">
      <c r="B32" s="14" t="s">
        <v>75</v>
      </c>
      <c r="C32" s="18">
        <f>C30-C31</f>
        <v>-0.38930864197530823</v>
      </c>
      <c r="E32" s="11" t="s">
        <v>76</v>
      </c>
    </row>
    <row r="33" spans="2:5" x14ac:dyDescent="0.25">
      <c r="B33" s="14" t="s">
        <v>77</v>
      </c>
      <c r="C33" s="17">
        <f>C9-C10</f>
        <v>0.98930864197530877</v>
      </c>
      <c r="E33" s="11" t="s">
        <v>78</v>
      </c>
    </row>
    <row r="34" spans="2:5" x14ac:dyDescent="0.25">
      <c r="B34" s="14" t="s">
        <v>79</v>
      </c>
      <c r="C34" s="17">
        <f>C12-C13</f>
        <v>0.60000000000000142</v>
      </c>
      <c r="E34" s="11" t="s">
        <v>80</v>
      </c>
    </row>
    <row r="35" spans="2:5" x14ac:dyDescent="0.25">
      <c r="B35" s="14" t="s">
        <v>81</v>
      </c>
      <c r="C35" s="21" t="str">
        <f>IF(C32&gt;0,"ASIA",IF(C32&lt;0,"EUROPE","INDIFFERENT"))</f>
        <v>EUROPE</v>
      </c>
      <c r="E35" s="11"/>
    </row>
    <row r="36" spans="2:5" x14ac:dyDescent="0.25">
      <c r="B36" s="14" t="s">
        <v>82</v>
      </c>
      <c r="C36" s="17">
        <f>MAX(C30,C31)-C18</f>
        <v>22.142930864197531</v>
      </c>
      <c r="E36" s="11" t="s">
        <v>83</v>
      </c>
    </row>
    <row r="37" spans="2:5" x14ac:dyDescent="0.25">
      <c r="B37" s="14" t="s">
        <v>84</v>
      </c>
      <c r="C37" s="17">
        <f>MAX(C30,C31)-C16</f>
        <v>24.892930864197528</v>
      </c>
      <c r="E37" s="11" t="s">
        <v>85</v>
      </c>
    </row>
  </sheetData>
  <sheetProtection sheet="1" formatColumns="0" formatRows="0"/>
  <pageMargins left="0.75" right="0.75" top="1" bottom="1" header="0.511811023622047" footer="0.511811023622047"/>
  <pageSetup fitToHeight="0" orientation="landscape" horizontalDpi="300" verticalDpi="30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F21"/>
  <sheetViews>
    <sheetView showGridLines="0" zoomScaleNormal="100" workbookViewId="0">
      <selection activeCell="E21" sqref="E21"/>
    </sheetView>
  </sheetViews>
  <sheetFormatPr defaultColWidth="8.7109375" defaultRowHeight="15" x14ac:dyDescent="0.25"/>
  <cols>
    <col min="1" max="1" width="3" customWidth="1"/>
    <col min="2" max="2" width="44" customWidth="1"/>
    <col min="3" max="5" width="16" customWidth="1"/>
    <col min="6" max="6" width="52" customWidth="1"/>
  </cols>
  <sheetData>
    <row r="2" spans="2:6" ht="20.25" x14ac:dyDescent="0.3">
      <c r="B2" s="12" t="s">
        <v>86</v>
      </c>
    </row>
    <row r="3" spans="2:6" x14ac:dyDescent="0.25">
      <c r="B3" s="11" t="s">
        <v>87</v>
      </c>
    </row>
    <row r="5" spans="2:6" ht="45" x14ac:dyDescent="0.25">
      <c r="B5" s="13"/>
      <c r="C5" s="13" t="s">
        <v>88</v>
      </c>
      <c r="D5" s="13" t="s">
        <v>89</v>
      </c>
      <c r="E5" s="13" t="s">
        <v>90</v>
      </c>
      <c r="F5" s="13" t="s">
        <v>27</v>
      </c>
    </row>
    <row r="6" spans="2:6" ht="30" customHeight="1" x14ac:dyDescent="0.25">
      <c r="B6" s="14" t="s">
        <v>91</v>
      </c>
      <c r="C6" s="22">
        <v>15000</v>
      </c>
      <c r="D6" s="22">
        <v>9300</v>
      </c>
      <c r="E6" s="22">
        <v>5000</v>
      </c>
      <c r="F6" s="16" t="s">
        <v>92</v>
      </c>
    </row>
    <row r="7" spans="2:6" ht="30" customHeight="1" x14ac:dyDescent="0.25">
      <c r="B7" s="14" t="s">
        <v>93</v>
      </c>
      <c r="C7" s="23">
        <v>18</v>
      </c>
      <c r="D7" s="23">
        <v>18</v>
      </c>
      <c r="E7" s="23">
        <v>18</v>
      </c>
      <c r="F7" s="16" t="s">
        <v>94</v>
      </c>
    </row>
    <row r="8" spans="2:6" ht="30" customHeight="1" x14ac:dyDescent="0.25">
      <c r="B8" s="14" t="s">
        <v>95</v>
      </c>
      <c r="C8" s="24">
        <v>4</v>
      </c>
      <c r="D8" s="24">
        <v>8</v>
      </c>
      <c r="E8" s="24">
        <v>3</v>
      </c>
      <c r="F8" s="16" t="s">
        <v>96</v>
      </c>
    </row>
    <row r="9" spans="2:6" ht="30" customHeight="1" x14ac:dyDescent="0.25">
      <c r="B9" s="14" t="s">
        <v>97</v>
      </c>
      <c r="C9" s="22">
        <v>39000</v>
      </c>
      <c r="D9" s="22">
        <v>39000</v>
      </c>
      <c r="E9" s="22">
        <v>25750</v>
      </c>
      <c r="F9" s="16" t="s">
        <v>98</v>
      </c>
    </row>
    <row r="10" spans="2:6" ht="30" customHeight="1" x14ac:dyDescent="0.25">
      <c r="B10" s="14" t="s">
        <v>99</v>
      </c>
      <c r="C10" s="22">
        <v>30000</v>
      </c>
      <c r="D10" s="22">
        <v>30000</v>
      </c>
      <c r="E10" s="22">
        <v>30000</v>
      </c>
      <c r="F10" s="16" t="s">
        <v>100</v>
      </c>
    </row>
    <row r="11" spans="2:6" ht="30" customHeight="1" x14ac:dyDescent="0.25">
      <c r="B11" s="14" t="s">
        <v>101</v>
      </c>
      <c r="C11" s="22">
        <v>0</v>
      </c>
      <c r="D11" s="22">
        <v>900000</v>
      </c>
      <c r="E11" s="22">
        <v>0</v>
      </c>
      <c r="F11" s="16" t="s">
        <v>102</v>
      </c>
    </row>
    <row r="12" spans="2:6" ht="30" customHeight="1" x14ac:dyDescent="0.25">
      <c r="B12" s="14" t="s">
        <v>103</v>
      </c>
      <c r="C12" s="22">
        <v>300000</v>
      </c>
      <c r="D12" s="22">
        <v>300000</v>
      </c>
      <c r="E12" s="22">
        <v>200000</v>
      </c>
      <c r="F12" s="16" t="s">
        <v>104</v>
      </c>
    </row>
    <row r="13" spans="2:6" ht="30" customHeight="1" x14ac:dyDescent="0.25">
      <c r="B13" s="14" t="s">
        <v>105</v>
      </c>
      <c r="C13" s="22">
        <v>174000</v>
      </c>
      <c r="D13" s="22">
        <v>174000</v>
      </c>
      <c r="E13" s="22">
        <v>174000</v>
      </c>
      <c r="F13" s="16" t="s">
        <v>106</v>
      </c>
    </row>
    <row r="14" spans="2:6" ht="30" customHeight="1" x14ac:dyDescent="0.25">
      <c r="B14" s="14" t="s">
        <v>107</v>
      </c>
      <c r="C14" s="22">
        <v>3750000</v>
      </c>
      <c r="D14" s="22">
        <v>3750000</v>
      </c>
      <c r="E14" s="22">
        <v>3750000</v>
      </c>
      <c r="F14" s="16" t="s">
        <v>108</v>
      </c>
    </row>
    <row r="16" spans="2:6" x14ac:dyDescent="0.25">
      <c r="B16" s="13" t="s">
        <v>109</v>
      </c>
      <c r="C16" s="13"/>
      <c r="D16" s="13"/>
      <c r="E16" s="13"/>
      <c r="F16" s="13"/>
    </row>
    <row r="17" spans="2:6" x14ac:dyDescent="0.25">
      <c r="B17" s="14" t="s">
        <v>110</v>
      </c>
      <c r="C17" s="25">
        <f>C6*2/(C7*24)</f>
        <v>69.444444444444443</v>
      </c>
      <c r="D17" s="25">
        <f>D6*2/(D7*24)</f>
        <v>43.055555555555557</v>
      </c>
      <c r="E17" s="25">
        <f>E6*2/(E7*24)</f>
        <v>23.148148148148149</v>
      </c>
    </row>
    <row r="18" spans="2:6" x14ac:dyDescent="0.25">
      <c r="B18" s="14" t="s">
        <v>111</v>
      </c>
      <c r="C18" s="25">
        <f>C17+C8</f>
        <v>73.444444444444443</v>
      </c>
      <c r="D18" s="25">
        <f>D17+D8</f>
        <v>51.055555555555557</v>
      </c>
      <c r="E18" s="25">
        <f>E17+E8</f>
        <v>26.148148148148149</v>
      </c>
    </row>
    <row r="19" spans="2:6" x14ac:dyDescent="0.25">
      <c r="B19" s="14" t="s">
        <v>112</v>
      </c>
      <c r="C19" s="26">
        <f>C18*C9</f>
        <v>2864333.3333333335</v>
      </c>
      <c r="D19" s="26">
        <f>D18*D9</f>
        <v>1991166.6666666667</v>
      </c>
      <c r="E19" s="26">
        <f>E18*E9</f>
        <v>673314.81481481483</v>
      </c>
    </row>
    <row r="20" spans="2:6" x14ac:dyDescent="0.25">
      <c r="B20" s="14" t="s">
        <v>113</v>
      </c>
      <c r="C20" s="26">
        <f>C18*C10+C11+C12</f>
        <v>2503333.3333333335</v>
      </c>
      <c r="D20" s="26">
        <f>D18*D10+D11+D12</f>
        <v>2731666.666666667</v>
      </c>
      <c r="E20" s="26">
        <f>E18*E10+E11+E12</f>
        <v>984444.4444444445</v>
      </c>
    </row>
    <row r="21" spans="2:6" ht="30" customHeight="1" x14ac:dyDescent="0.25">
      <c r="B21" s="14" t="s">
        <v>114</v>
      </c>
      <c r="C21" s="18">
        <f>IF(C14=0,0,(C19+C20)/C14)</f>
        <v>1.4313777777777779</v>
      </c>
      <c r="D21" s="18">
        <f>IF(D14=0,0,(D19+D20)/D14)</f>
        <v>1.2594222222222224</v>
      </c>
      <c r="E21" s="18">
        <f>IF(E14=0,0,(E19+E20)/E14)</f>
        <v>0.44206913580246915</v>
      </c>
      <c r="F21" s="27" t="s">
        <v>115</v>
      </c>
    </row>
  </sheetData>
  <sheetProtection sheet="1" formatColumns="0" formatRows="0"/>
  <pageMargins left="0.75" right="0.75" top="1" bottom="1" header="0.511811023622047" footer="0.511811023622047"/>
  <pageSetup fitToHeight="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F24"/>
  <sheetViews>
    <sheetView showGridLines="0" tabSelected="1" zoomScaleNormal="100" workbookViewId="0">
      <selection activeCell="M5" sqref="M5"/>
    </sheetView>
  </sheetViews>
  <sheetFormatPr defaultColWidth="8.7109375" defaultRowHeight="15" x14ac:dyDescent="0.25"/>
  <cols>
    <col min="1" max="1" width="3" customWidth="1"/>
    <col min="2" max="2" width="46" customWidth="1"/>
    <col min="3" max="5" width="18" customWidth="1"/>
    <col min="6" max="6" width="50" customWidth="1"/>
  </cols>
  <sheetData>
    <row r="2" spans="2:6" ht="20.25" x14ac:dyDescent="0.3">
      <c r="B2" s="12" t="s">
        <v>116</v>
      </c>
    </row>
    <row r="3" spans="2:6" x14ac:dyDescent="0.25">
      <c r="B3" s="11" t="s">
        <v>117</v>
      </c>
    </row>
    <row r="5" spans="2:6" ht="30" x14ac:dyDescent="0.25">
      <c r="B5" s="13" t="s">
        <v>24</v>
      </c>
      <c r="C5" s="13" t="s">
        <v>118</v>
      </c>
      <c r="D5" s="13" t="s">
        <v>119</v>
      </c>
      <c r="E5" s="13" t="s">
        <v>120</v>
      </c>
      <c r="F5" s="13" t="s">
        <v>27</v>
      </c>
    </row>
    <row r="6" spans="2:6" ht="30" customHeight="1" x14ac:dyDescent="0.25">
      <c r="B6" s="14" t="s">
        <v>121</v>
      </c>
      <c r="C6" s="28">
        <f>Netback!C6</f>
        <v>3.1</v>
      </c>
      <c r="D6" s="15">
        <v>3.5</v>
      </c>
      <c r="E6" s="15">
        <v>3.5</v>
      </c>
      <c r="F6" s="16" t="s">
        <v>122</v>
      </c>
    </row>
    <row r="7" spans="2:6" ht="30" customHeight="1" x14ac:dyDescent="0.25">
      <c r="B7" s="14" t="s">
        <v>123</v>
      </c>
      <c r="C7" s="28">
        <f>Netback!C7</f>
        <v>1.1499999999999999</v>
      </c>
      <c r="D7" s="28">
        <f>Netback!C7</f>
        <v>1.1499999999999999</v>
      </c>
      <c r="E7" s="28">
        <f>Netback!C7</f>
        <v>1.1499999999999999</v>
      </c>
      <c r="F7" s="16"/>
    </row>
    <row r="8" spans="2:6" ht="30" customHeight="1" x14ac:dyDescent="0.25">
      <c r="B8" s="14" t="s">
        <v>124</v>
      </c>
      <c r="C8" s="28">
        <f>Netback!C8</f>
        <v>2.75</v>
      </c>
      <c r="D8" s="15">
        <v>2.75</v>
      </c>
      <c r="E8" s="15">
        <v>2.75</v>
      </c>
      <c r="F8" s="16" t="s">
        <v>125</v>
      </c>
    </row>
    <row r="9" spans="2:6" ht="30" customHeight="1" x14ac:dyDescent="0.25">
      <c r="B9" s="14" t="s">
        <v>126</v>
      </c>
      <c r="C9" s="28">
        <f>Netback!C9</f>
        <v>1.4313777777777779</v>
      </c>
      <c r="D9" s="15">
        <v>1.2</v>
      </c>
      <c r="E9" s="15">
        <v>1.45</v>
      </c>
      <c r="F9" s="16" t="s">
        <v>127</v>
      </c>
    </row>
    <row r="10" spans="2:6" ht="30" customHeight="1" x14ac:dyDescent="0.25">
      <c r="B10" s="14" t="s">
        <v>128</v>
      </c>
      <c r="C10" s="28">
        <f>Netback!C10</f>
        <v>0.44206913580246915</v>
      </c>
      <c r="D10" s="15">
        <v>0.45</v>
      </c>
      <c r="E10" s="15">
        <v>0.5</v>
      </c>
      <c r="F10" s="16"/>
    </row>
    <row r="11" spans="2:6" ht="30" customHeight="1" x14ac:dyDescent="0.25">
      <c r="B11" s="14" t="s">
        <v>129</v>
      </c>
      <c r="C11" s="28">
        <f>Netback!C11</f>
        <v>0.4</v>
      </c>
      <c r="D11" s="28">
        <f>Netback!C11</f>
        <v>0.4</v>
      </c>
      <c r="E11" s="28">
        <f>Netback!C11</f>
        <v>0.4</v>
      </c>
      <c r="F11" s="16"/>
    </row>
    <row r="12" spans="2:6" ht="30" customHeight="1" x14ac:dyDescent="0.25">
      <c r="B12" s="14" t="s">
        <v>130</v>
      </c>
      <c r="C12" s="28">
        <f>Netback!C12</f>
        <v>29.5</v>
      </c>
      <c r="D12" s="15">
        <v>10.5</v>
      </c>
      <c r="E12" s="15">
        <v>23</v>
      </c>
      <c r="F12" s="16" t="s">
        <v>131</v>
      </c>
    </row>
    <row r="13" spans="2:6" ht="30" customHeight="1" x14ac:dyDescent="0.25">
      <c r="B13" s="14" t="s">
        <v>132</v>
      </c>
      <c r="C13" s="28">
        <f>Netback!C13</f>
        <v>28.9</v>
      </c>
      <c r="D13" s="15">
        <v>9.5</v>
      </c>
      <c r="E13" s="15">
        <v>22</v>
      </c>
      <c r="F13" s="16" t="s">
        <v>133</v>
      </c>
    </row>
    <row r="15" spans="2:6" x14ac:dyDescent="0.25">
      <c r="B15" s="13" t="s">
        <v>134</v>
      </c>
      <c r="C15" s="13"/>
      <c r="D15" s="13"/>
      <c r="E15" s="13"/>
      <c r="F15" s="13"/>
    </row>
    <row r="16" spans="2:6" x14ac:dyDescent="0.25">
      <c r="B16" s="14" t="s">
        <v>135</v>
      </c>
      <c r="C16" s="17">
        <f>C6*C7+C8</f>
        <v>6.3149999999999995</v>
      </c>
      <c r="D16" s="17">
        <f>D6*D7+D8</f>
        <v>6.7749999999999995</v>
      </c>
      <c r="E16" s="17">
        <f>E6*E7+E8</f>
        <v>6.7749999999999995</v>
      </c>
    </row>
    <row r="17" spans="2:6" x14ac:dyDescent="0.25">
      <c r="B17" s="14" t="s">
        <v>136</v>
      </c>
      <c r="C17" s="18">
        <f>C16+C9</f>
        <v>7.7463777777777771</v>
      </c>
      <c r="D17" s="18">
        <f>D16+D9</f>
        <v>7.9749999999999996</v>
      </c>
      <c r="E17" s="18">
        <f>E16+E9</f>
        <v>8.2249999999999996</v>
      </c>
    </row>
    <row r="18" spans="2:6" x14ac:dyDescent="0.25">
      <c r="B18" s="14" t="s">
        <v>137</v>
      </c>
      <c r="C18" s="17">
        <f>C6*C7+C9</f>
        <v>4.996377777777778</v>
      </c>
      <c r="D18" s="17">
        <f>D6*D7+D9</f>
        <v>5.2249999999999996</v>
      </c>
      <c r="E18" s="17">
        <f>E6*E7+E9</f>
        <v>5.4749999999999996</v>
      </c>
    </row>
    <row r="19" spans="2:6" x14ac:dyDescent="0.25">
      <c r="B19" s="14" t="s">
        <v>138</v>
      </c>
      <c r="C19" s="18">
        <f>C12-C17</f>
        <v>21.753622222222223</v>
      </c>
      <c r="D19" s="18">
        <f>D12-D17</f>
        <v>2.5250000000000004</v>
      </c>
      <c r="E19" s="18">
        <f>E12-E17</f>
        <v>14.775</v>
      </c>
      <c r="F19" s="11" t="s">
        <v>139</v>
      </c>
    </row>
    <row r="20" spans="2:6" x14ac:dyDescent="0.25">
      <c r="B20" s="14" t="s">
        <v>140</v>
      </c>
      <c r="C20" s="17">
        <f t="shared" ref="C20:E21" si="0">C12-C9</f>
        <v>28.068622222222221</v>
      </c>
      <c r="D20" s="17">
        <f t="shared" si="0"/>
        <v>9.3000000000000007</v>
      </c>
      <c r="E20" s="17">
        <f t="shared" si="0"/>
        <v>21.55</v>
      </c>
    </row>
    <row r="21" spans="2:6" x14ac:dyDescent="0.25">
      <c r="B21" s="14" t="s">
        <v>141</v>
      </c>
      <c r="C21" s="17">
        <f t="shared" si="0"/>
        <v>28.457930864197529</v>
      </c>
      <c r="D21" s="17">
        <f t="shared" si="0"/>
        <v>9.0500000000000007</v>
      </c>
      <c r="E21" s="17">
        <f t="shared" si="0"/>
        <v>21.5</v>
      </c>
    </row>
    <row r="22" spans="2:6" x14ac:dyDescent="0.25">
      <c r="B22" s="14" t="s">
        <v>75</v>
      </c>
      <c r="C22" s="18">
        <f>C20-C21</f>
        <v>-0.38930864197530823</v>
      </c>
      <c r="D22" s="18">
        <f>D20-D21</f>
        <v>0.25</v>
      </c>
      <c r="E22" s="18">
        <f>E20-E21</f>
        <v>5.0000000000000711E-2</v>
      </c>
    </row>
    <row r="23" spans="2:6" x14ac:dyDescent="0.25">
      <c r="B23" s="14" t="s">
        <v>81</v>
      </c>
      <c r="C23" s="29" t="str">
        <f>IF(C22&gt;0,"ASIA",IF(C22&lt;0,"EUROPE","INDIFFERENT"))</f>
        <v>EUROPE</v>
      </c>
      <c r="D23" s="29" t="str">
        <f>IF(D22&gt;0,"ASIA",IF(D22&lt;0,"EUROPE","INDIFFERENT"))</f>
        <v>ASIA</v>
      </c>
      <c r="E23" s="29" t="str">
        <f>IF(E22&gt;0,"ASIA",IF(E22&lt;0,"EUROPE","INDIFFERENT"))</f>
        <v>ASIA</v>
      </c>
    </row>
    <row r="24" spans="2:6" ht="39" x14ac:dyDescent="0.25">
      <c r="B24" s="14" t="s">
        <v>142</v>
      </c>
      <c r="C24" s="29" t="str">
        <f>IF(C19&gt;3,"Marginal BUYER (demand destruction)",IF(C19&gt;-0.5,"Marginal US CARGO (cost + freight)","Below US cost: cargo cancellations"))</f>
        <v>Marginal BUYER (demand destruction)</v>
      </c>
      <c r="D24" s="29" t="str">
        <f>IF(D19&gt;3,"Marginal BUYER (demand destruction)",IF(D19&gt;-0.5,"Marginal US CARGO (cost + freight)","Below US cost: cargo cancellations"))</f>
        <v>Marginal US CARGO (cost + freight)</v>
      </c>
      <c r="E24" s="29" t="str">
        <f>IF(E19&gt;3,"Marginal BUYER (demand destruction)",IF(E19&gt;-0.5,"Marginal US CARGO (cost + freight)","Below US cost: cargo cancellations"))</f>
        <v>Marginal BUYER (demand destruction)</v>
      </c>
      <c r="F24" s="27" t="s">
        <v>143</v>
      </c>
    </row>
  </sheetData>
  <sheetProtection sheet="1" formatColumns="0" formatRows="0"/>
  <pageMargins left="0.75" right="0.75" top="1" bottom="1" header="0.511811023622047" footer="0.511811023622047"/>
  <pageSetup fitToHeight="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I20"/>
  <sheetViews>
    <sheetView showGridLines="0" zoomScaleNormal="100" workbookViewId="0"/>
  </sheetViews>
  <sheetFormatPr defaultColWidth="8.7109375" defaultRowHeight="15" x14ac:dyDescent="0.25"/>
  <cols>
    <col min="1" max="1" width="3" customWidth="1"/>
    <col min="2" max="2" width="30" customWidth="1"/>
    <col min="3" max="9" width="12" customWidth="1"/>
  </cols>
  <sheetData>
    <row r="2" spans="2:9" ht="20.25" x14ac:dyDescent="0.3">
      <c r="B2" s="12" t="s">
        <v>144</v>
      </c>
    </row>
    <row r="3" spans="2:9" x14ac:dyDescent="0.25">
      <c r="B3" s="11" t="s">
        <v>145</v>
      </c>
    </row>
    <row r="5" spans="2:9" x14ac:dyDescent="0.25">
      <c r="B5" s="30" t="s">
        <v>146</v>
      </c>
      <c r="C5" s="15">
        <v>2</v>
      </c>
      <c r="D5" s="15">
        <v>2.5</v>
      </c>
      <c r="E5" s="15">
        <v>3</v>
      </c>
      <c r="F5" s="15">
        <v>3.5</v>
      </c>
      <c r="G5" s="15">
        <v>4</v>
      </c>
      <c r="H5" s="15">
        <v>4.5</v>
      </c>
      <c r="I5" s="15">
        <v>5</v>
      </c>
    </row>
    <row r="6" spans="2:9" x14ac:dyDescent="0.25">
      <c r="B6" s="15">
        <v>2.25</v>
      </c>
      <c r="C6" s="17">
        <f>C$5*Netback!$C$7+$B6+Netback!$C$9</f>
        <v>5.9813777777777775</v>
      </c>
      <c r="D6" s="17">
        <f>D$5*Netback!$C$7+$B6+Netback!$C$9</f>
        <v>6.5563777777777776</v>
      </c>
      <c r="E6" s="17">
        <f>E$5*Netback!$C$7+$B6+Netback!$C$9</f>
        <v>7.1313777777777769</v>
      </c>
      <c r="F6" s="17">
        <f>F$5*Netback!$C$7+$B6+Netback!$C$9</f>
        <v>7.7063777777777771</v>
      </c>
      <c r="G6" s="17">
        <f>G$5*Netback!$C$7+$B6+Netback!$C$9</f>
        <v>8.2813777777777773</v>
      </c>
      <c r="H6" s="17">
        <f>H$5*Netback!$C$7+$B6+Netback!$C$9</f>
        <v>8.8563777777777783</v>
      </c>
      <c r="I6" s="17">
        <f>I$5*Netback!$C$7+$B6+Netback!$C$9</f>
        <v>9.4313777777777776</v>
      </c>
    </row>
    <row r="7" spans="2:9" x14ac:dyDescent="0.25">
      <c r="B7" s="15">
        <v>2.5</v>
      </c>
      <c r="C7" s="17">
        <f>C$5*Netback!$C$7+$B7+Netback!$C$9</f>
        <v>6.2313777777777775</v>
      </c>
      <c r="D7" s="17">
        <f>D$5*Netback!$C$7+$B7+Netback!$C$9</f>
        <v>6.8063777777777776</v>
      </c>
      <c r="E7" s="17">
        <f>E$5*Netback!$C$7+$B7+Netback!$C$9</f>
        <v>7.3813777777777769</v>
      </c>
      <c r="F7" s="17">
        <f>F$5*Netback!$C$7+$B7+Netback!$C$9</f>
        <v>7.9563777777777771</v>
      </c>
      <c r="G7" s="17">
        <f>G$5*Netback!$C$7+$B7+Netback!$C$9</f>
        <v>8.5313777777777773</v>
      </c>
      <c r="H7" s="17">
        <f>H$5*Netback!$C$7+$B7+Netback!$C$9</f>
        <v>9.1063777777777783</v>
      </c>
      <c r="I7" s="17">
        <f>I$5*Netback!$C$7+$B7+Netback!$C$9</f>
        <v>9.6813777777777776</v>
      </c>
    </row>
    <row r="8" spans="2:9" x14ac:dyDescent="0.25">
      <c r="B8" s="15">
        <v>2.75</v>
      </c>
      <c r="C8" s="17">
        <f>C$5*Netback!$C$7+$B8+Netback!$C$9</f>
        <v>6.4813777777777775</v>
      </c>
      <c r="D8" s="17">
        <f>D$5*Netback!$C$7+$B8+Netback!$C$9</f>
        <v>7.0563777777777776</v>
      </c>
      <c r="E8" s="17">
        <f>E$5*Netback!$C$7+$B8+Netback!$C$9</f>
        <v>7.6313777777777769</v>
      </c>
      <c r="F8" s="17">
        <f>F$5*Netback!$C$7+$B8+Netback!$C$9</f>
        <v>8.206377777777778</v>
      </c>
      <c r="G8" s="17">
        <f>G$5*Netback!$C$7+$B8+Netback!$C$9</f>
        <v>8.7813777777777773</v>
      </c>
      <c r="H8" s="17">
        <f>H$5*Netback!$C$7+$B8+Netback!$C$9</f>
        <v>9.3563777777777783</v>
      </c>
      <c r="I8" s="17">
        <f>I$5*Netback!$C$7+$B8+Netback!$C$9</f>
        <v>9.9313777777777776</v>
      </c>
    </row>
    <row r="9" spans="2:9" x14ac:dyDescent="0.25">
      <c r="B9" s="15">
        <v>3</v>
      </c>
      <c r="C9" s="17">
        <f>C$5*Netback!$C$7+$B9+Netback!$C$9</f>
        <v>6.7313777777777775</v>
      </c>
      <c r="D9" s="17">
        <f>D$5*Netback!$C$7+$B9+Netback!$C$9</f>
        <v>7.3063777777777776</v>
      </c>
      <c r="E9" s="17">
        <f>E$5*Netback!$C$7+$B9+Netback!$C$9</f>
        <v>7.8813777777777769</v>
      </c>
      <c r="F9" s="17">
        <f>F$5*Netback!$C$7+$B9+Netback!$C$9</f>
        <v>8.456377777777778</v>
      </c>
      <c r="G9" s="17">
        <f>G$5*Netback!$C$7+$B9+Netback!$C$9</f>
        <v>9.0313777777777773</v>
      </c>
      <c r="H9" s="17">
        <f>H$5*Netback!$C$7+$B9+Netback!$C$9</f>
        <v>9.6063777777777783</v>
      </c>
      <c r="I9" s="17">
        <f>I$5*Netback!$C$7+$B9+Netback!$C$9</f>
        <v>10.181377777777778</v>
      </c>
    </row>
    <row r="10" spans="2:9" x14ac:dyDescent="0.25">
      <c r="B10" s="15">
        <v>3.25</v>
      </c>
      <c r="C10" s="17">
        <f>C$5*Netback!$C$7+$B10+Netback!$C$9</f>
        <v>6.9813777777777775</v>
      </c>
      <c r="D10" s="17">
        <f>D$5*Netback!$C$7+$B10+Netback!$C$9</f>
        <v>7.5563777777777776</v>
      </c>
      <c r="E10" s="17">
        <f>E$5*Netback!$C$7+$B10+Netback!$C$9</f>
        <v>8.1313777777777769</v>
      </c>
      <c r="F10" s="17">
        <f>F$5*Netback!$C$7+$B10+Netback!$C$9</f>
        <v>8.706377777777778</v>
      </c>
      <c r="G10" s="17">
        <f>G$5*Netback!$C$7+$B10+Netback!$C$9</f>
        <v>9.2813777777777773</v>
      </c>
      <c r="H10" s="17">
        <f>H$5*Netback!$C$7+$B10+Netback!$C$9</f>
        <v>9.8563777777777783</v>
      </c>
      <c r="I10" s="17">
        <f>I$5*Netback!$C$7+$B10+Netback!$C$9</f>
        <v>10.431377777777778</v>
      </c>
    </row>
    <row r="11" spans="2:9" x14ac:dyDescent="0.25">
      <c r="B11" s="15">
        <v>3.5</v>
      </c>
      <c r="C11" s="17">
        <f>C$5*Netback!$C$7+$B11+Netback!$C$9</f>
        <v>7.2313777777777775</v>
      </c>
      <c r="D11" s="17">
        <f>D$5*Netback!$C$7+$B11+Netback!$C$9</f>
        <v>7.8063777777777776</v>
      </c>
      <c r="E11" s="17">
        <f>E$5*Netback!$C$7+$B11+Netback!$C$9</f>
        <v>8.3813777777777769</v>
      </c>
      <c r="F11" s="17">
        <f>F$5*Netback!$C$7+$B11+Netback!$C$9</f>
        <v>8.956377777777778</v>
      </c>
      <c r="G11" s="17">
        <f>G$5*Netback!$C$7+$B11+Netback!$C$9</f>
        <v>9.5313777777777773</v>
      </c>
      <c r="H11" s="17">
        <f>H$5*Netback!$C$7+$B11+Netback!$C$9</f>
        <v>10.106377777777778</v>
      </c>
      <c r="I11" s="17">
        <f>I$5*Netback!$C$7+$B11+Netback!$C$9</f>
        <v>10.681377777777778</v>
      </c>
    </row>
    <row r="13" spans="2:9" x14ac:dyDescent="0.25">
      <c r="B13" s="7" t="s">
        <v>147</v>
      </c>
    </row>
    <row r="14" spans="2:9" x14ac:dyDescent="0.25">
      <c r="B14" s="30" t="s">
        <v>146</v>
      </c>
      <c r="C14" s="17">
        <f t="shared" ref="C14:I14" si="0">C5</f>
        <v>2</v>
      </c>
      <c r="D14" s="17">
        <f t="shared" si="0"/>
        <v>2.5</v>
      </c>
      <c r="E14" s="17">
        <f t="shared" si="0"/>
        <v>3</v>
      </c>
      <c r="F14" s="17">
        <f t="shared" si="0"/>
        <v>3.5</v>
      </c>
      <c r="G14" s="17">
        <f t="shared" si="0"/>
        <v>4</v>
      </c>
      <c r="H14" s="17">
        <f t="shared" si="0"/>
        <v>4.5</v>
      </c>
      <c r="I14" s="17">
        <f t="shared" si="0"/>
        <v>5</v>
      </c>
    </row>
    <row r="15" spans="2:9" x14ac:dyDescent="0.25">
      <c r="B15" s="17">
        <f t="shared" ref="B15:B20" si="1">B6</f>
        <v>2.25</v>
      </c>
      <c r="C15" s="17">
        <f>Netback!$C$12-C6</f>
        <v>23.518622222222223</v>
      </c>
      <c r="D15" s="17">
        <f>Netback!$C$12-D6</f>
        <v>22.943622222222224</v>
      </c>
      <c r="E15" s="17">
        <f>Netback!$C$12-E6</f>
        <v>22.368622222222221</v>
      </c>
      <c r="F15" s="17">
        <f>Netback!$C$12-F6</f>
        <v>21.793622222222222</v>
      </c>
      <c r="G15" s="17">
        <f>Netback!$C$12-G6</f>
        <v>21.218622222222223</v>
      </c>
      <c r="H15" s="17">
        <f>Netback!$C$12-H6</f>
        <v>20.64362222222222</v>
      </c>
      <c r="I15" s="17">
        <f>Netback!$C$12-I6</f>
        <v>20.068622222222224</v>
      </c>
    </row>
    <row r="16" spans="2:9" x14ac:dyDescent="0.25">
      <c r="B16" s="17">
        <f t="shared" si="1"/>
        <v>2.5</v>
      </c>
      <c r="C16" s="17">
        <f>Netback!$C$12-C7</f>
        <v>23.268622222222223</v>
      </c>
      <c r="D16" s="17">
        <f>Netback!$C$12-D7</f>
        <v>22.693622222222224</v>
      </c>
      <c r="E16" s="17">
        <f>Netback!$C$12-E7</f>
        <v>22.118622222222221</v>
      </c>
      <c r="F16" s="17">
        <f>Netback!$C$12-F7</f>
        <v>21.543622222222222</v>
      </c>
      <c r="G16" s="17">
        <f>Netback!$C$12-G7</f>
        <v>20.968622222222223</v>
      </c>
      <c r="H16" s="17">
        <f>Netback!$C$12-H7</f>
        <v>20.39362222222222</v>
      </c>
      <c r="I16" s="17">
        <f>Netback!$C$12-I7</f>
        <v>19.818622222222224</v>
      </c>
    </row>
    <row r="17" spans="2:9" x14ac:dyDescent="0.25">
      <c r="B17" s="17">
        <f t="shared" si="1"/>
        <v>2.75</v>
      </c>
      <c r="C17" s="17">
        <f>Netback!$C$12-C8</f>
        <v>23.018622222222223</v>
      </c>
      <c r="D17" s="17">
        <f>Netback!$C$12-D8</f>
        <v>22.443622222222224</v>
      </c>
      <c r="E17" s="17">
        <f>Netback!$C$12-E8</f>
        <v>21.868622222222221</v>
      </c>
      <c r="F17" s="17">
        <f>Netback!$C$12-F8</f>
        <v>21.293622222222222</v>
      </c>
      <c r="G17" s="17">
        <f>Netback!$C$12-G8</f>
        <v>20.718622222222223</v>
      </c>
      <c r="H17" s="17">
        <f>Netback!$C$12-H8</f>
        <v>20.14362222222222</v>
      </c>
      <c r="I17" s="17">
        <f>Netback!$C$12-I8</f>
        <v>19.568622222222224</v>
      </c>
    </row>
    <row r="18" spans="2:9" x14ac:dyDescent="0.25">
      <c r="B18" s="17">
        <f t="shared" si="1"/>
        <v>3</v>
      </c>
      <c r="C18" s="17">
        <f>Netback!$C$12-C9</f>
        <v>22.768622222222223</v>
      </c>
      <c r="D18" s="17">
        <f>Netback!$C$12-D9</f>
        <v>22.193622222222224</v>
      </c>
      <c r="E18" s="17">
        <f>Netback!$C$12-E9</f>
        <v>21.618622222222221</v>
      </c>
      <c r="F18" s="17">
        <f>Netback!$C$12-F9</f>
        <v>21.043622222222222</v>
      </c>
      <c r="G18" s="17">
        <f>Netback!$C$12-G9</f>
        <v>20.468622222222223</v>
      </c>
      <c r="H18" s="17">
        <f>Netback!$C$12-H9</f>
        <v>19.89362222222222</v>
      </c>
      <c r="I18" s="17">
        <f>Netback!$C$12-I9</f>
        <v>19.318622222222224</v>
      </c>
    </row>
    <row r="19" spans="2:9" x14ac:dyDescent="0.25">
      <c r="B19" s="17">
        <f t="shared" si="1"/>
        <v>3.25</v>
      </c>
      <c r="C19" s="17">
        <f>Netback!$C$12-C10</f>
        <v>22.518622222222223</v>
      </c>
      <c r="D19" s="17">
        <f>Netback!$C$12-D10</f>
        <v>21.943622222222224</v>
      </c>
      <c r="E19" s="17">
        <f>Netback!$C$12-E10</f>
        <v>21.368622222222221</v>
      </c>
      <c r="F19" s="17">
        <f>Netback!$C$12-F10</f>
        <v>20.793622222222222</v>
      </c>
      <c r="G19" s="17">
        <f>Netback!$C$12-G10</f>
        <v>20.218622222222223</v>
      </c>
      <c r="H19" s="17">
        <f>Netback!$C$12-H10</f>
        <v>19.64362222222222</v>
      </c>
      <c r="I19" s="17">
        <f>Netback!$C$12-I10</f>
        <v>19.068622222222224</v>
      </c>
    </row>
    <row r="20" spans="2:9" x14ac:dyDescent="0.25">
      <c r="B20" s="17">
        <f t="shared" si="1"/>
        <v>3.5</v>
      </c>
      <c r="C20" s="17">
        <f>Netback!$C$12-C11</f>
        <v>22.268622222222223</v>
      </c>
      <c r="D20" s="17">
        <f>Netback!$C$12-D11</f>
        <v>21.693622222222224</v>
      </c>
      <c r="E20" s="17">
        <f>Netback!$C$12-E11</f>
        <v>21.118622222222221</v>
      </c>
      <c r="F20" s="17">
        <f>Netback!$C$12-F11</f>
        <v>20.543622222222222</v>
      </c>
      <c r="G20" s="17">
        <f>Netback!$C$12-G11</f>
        <v>19.968622222222223</v>
      </c>
      <c r="H20" s="17">
        <f>Netback!$C$12-H11</f>
        <v>19.39362222222222</v>
      </c>
      <c r="I20" s="17">
        <f>Netback!$C$12-I11</f>
        <v>18.818622222222224</v>
      </c>
    </row>
  </sheetData>
  <sheetProtection sheet="1" formatColumns="0" formatRows="0"/>
  <pageMargins left="0.75" right="0.75" top="1" bottom="1" header="0.511811023622047" footer="0.511811023622047"/>
  <pageSetup fitToHeight="0"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D14"/>
  <sheetViews>
    <sheetView showGridLines="0" zoomScaleNormal="100" workbookViewId="0"/>
  </sheetViews>
  <sheetFormatPr defaultColWidth="8.7109375" defaultRowHeight="15" x14ac:dyDescent="0.25"/>
  <cols>
    <col min="1" max="1" width="3" customWidth="1"/>
    <col min="2" max="2" width="34" customWidth="1"/>
    <col min="3" max="3" width="70" customWidth="1"/>
    <col min="4" max="4" width="16" customWidth="1"/>
  </cols>
  <sheetData>
    <row r="2" spans="2:4" ht="20.25" x14ac:dyDescent="0.3">
      <c r="B2" s="12" t="s">
        <v>148</v>
      </c>
    </row>
    <row r="4" spans="2:4" x14ac:dyDescent="0.25">
      <c r="B4" s="13" t="s">
        <v>149</v>
      </c>
      <c r="C4" s="13" t="s">
        <v>150</v>
      </c>
      <c r="D4" s="13" t="s">
        <v>151</v>
      </c>
    </row>
    <row r="5" spans="2:4" ht="31.5" customHeight="1" x14ac:dyDescent="0.25">
      <c r="B5" s="31" t="s">
        <v>152</v>
      </c>
      <c r="C5" s="32" t="s">
        <v>153</v>
      </c>
      <c r="D5" s="31" t="s">
        <v>154</v>
      </c>
    </row>
    <row r="6" spans="2:4" ht="31.5" customHeight="1" x14ac:dyDescent="0.25">
      <c r="B6" s="31" t="s">
        <v>155</v>
      </c>
      <c r="C6" s="32" t="s">
        <v>156</v>
      </c>
      <c r="D6" s="31" t="s">
        <v>157</v>
      </c>
    </row>
    <row r="7" spans="2:4" ht="31.5" customHeight="1" x14ac:dyDescent="0.25">
      <c r="B7" s="31" t="s">
        <v>158</v>
      </c>
      <c r="C7" s="32" t="s">
        <v>159</v>
      </c>
      <c r="D7" s="31" t="s">
        <v>160</v>
      </c>
    </row>
    <row r="8" spans="2:4" ht="31.5" customHeight="1" x14ac:dyDescent="0.25">
      <c r="B8" s="31" t="s">
        <v>161</v>
      </c>
      <c r="C8" s="32" t="s">
        <v>162</v>
      </c>
      <c r="D8" s="31" t="s">
        <v>163</v>
      </c>
    </row>
    <row r="9" spans="2:4" ht="31.5" customHeight="1" x14ac:dyDescent="0.25">
      <c r="B9" s="31" t="s">
        <v>164</v>
      </c>
      <c r="C9" s="32" t="s">
        <v>165</v>
      </c>
      <c r="D9" s="31" t="s">
        <v>166</v>
      </c>
    </row>
    <row r="10" spans="2:4" ht="31.5" customHeight="1" x14ac:dyDescent="0.25">
      <c r="B10" s="31" t="s">
        <v>167</v>
      </c>
      <c r="C10" s="32" t="s">
        <v>168</v>
      </c>
      <c r="D10" s="31" t="s">
        <v>169</v>
      </c>
    </row>
    <row r="11" spans="2:4" ht="31.5" customHeight="1" x14ac:dyDescent="0.25">
      <c r="B11" s="31" t="s">
        <v>170</v>
      </c>
      <c r="C11" s="32" t="s">
        <v>171</v>
      </c>
      <c r="D11" s="31" t="s">
        <v>169</v>
      </c>
    </row>
    <row r="14" spans="2:4" x14ac:dyDescent="0.25">
      <c r="B14" s="11" t="s">
        <v>172</v>
      </c>
    </row>
  </sheetData>
  <sheetProtection sheet="1" formatColumns="0" formatRows="0"/>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Cover</vt:lpstr>
      <vt:lpstr>Netback</vt:lpstr>
      <vt:lpstr>Freight</vt:lpstr>
      <vt:lpstr>Scenarios</vt:lpstr>
      <vt:lpstr>Sensitivity</vt:lpstr>
      <vt:lpstr>Sources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Marginal Barrel LNG Netback Calculator v1</dc:title>
  <dc:subject/>
  <dc:creator>Marginal Barrel</dc:creator>
  <dc:description/>
  <cp:lastModifiedBy>Marginal Barrel</cp:lastModifiedBy>
  <cp:revision>0</cp:revision>
  <dcterms:created xsi:type="dcterms:W3CDTF">2026-10-25T13:57:26Z</dcterms:created>
  <dcterms:modified xsi:type="dcterms:W3CDTF">2026-10-25T14:00:09Z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aude.handoff">
    <vt:lpwstr>HTZ4VEHaPztQNAnFTpvZhoIkSeOkMUMfhoX1ZHXVyiI</vt:lpwstr>
  </property>
</Properties>
</file>