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xr:revisionPtr revIDLastSave="1" documentId="11_BCBC6C67113A953B9A373AC092595143D3C9115A" xr6:coauthVersionLast="47" xr6:coauthVersionMax="47" xr10:uidLastSave="{2D8359FF-8066-4060-B905-60EF3D0062BB}"/>
  <bookViews>
    <workbookView xWindow="-120" yWindow="-120" windowWidth="29040" windowHeight="15720" tabRatio="500" activeTab="4" xr2:uid="{00000000-000D-0000-FFFF-FFFF00000000}"/>
  </bookViews>
  <sheets>
    <sheet name="Cover" sheetId="1" r:id="rId1"/>
    <sheet name="Inputs" sheetId="2" r:id="rId2"/>
    <sheet name="Scenarios" sheetId="3" r:id="rId3"/>
    <sheet name="Balance" sheetId="4" r:id="rId4"/>
    <sheet name="Stack" sheetId="5" r:id="rId5"/>
    <sheet name="Fiscal" sheetId="6" r:id="rId6"/>
    <sheet name="Outputs" sheetId="7" r:id="rId7"/>
    <sheet name="Checks" sheetId="8" r:id="rId8"/>
    <sheet name="Sources" sheetId="9"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6" i="5" l="1"/>
  <c r="D12" i="8"/>
  <c r="D11" i="8"/>
  <c r="D10" i="8"/>
  <c r="D9" i="8"/>
  <c r="C9" i="8"/>
  <c r="D7" i="8"/>
  <c r="D6" i="8"/>
  <c r="D5" i="8"/>
  <c r="C5" i="8"/>
  <c r="I82" i="7"/>
  <c r="I81" i="7"/>
  <c r="E71" i="7"/>
  <c r="F66" i="7"/>
  <c r="E66" i="7"/>
  <c r="G65" i="7"/>
  <c r="G64" i="7"/>
  <c r="G63" i="7"/>
  <c r="G62" i="7"/>
  <c r="G61" i="7"/>
  <c r="E42" i="7"/>
  <c r="E41" i="7"/>
  <c r="E40" i="7"/>
  <c r="E39" i="7"/>
  <c r="E38" i="7"/>
  <c r="E37" i="7"/>
  <c r="E36" i="7"/>
  <c r="E35" i="7"/>
  <c r="F28" i="7"/>
  <c r="E28" i="7"/>
  <c r="C28" i="7"/>
  <c r="F27" i="7"/>
  <c r="E27" i="7"/>
  <c r="C27" i="7"/>
  <c r="F26" i="7"/>
  <c r="E26" i="7"/>
  <c r="C26" i="7"/>
  <c r="F25" i="7"/>
  <c r="E25" i="7"/>
  <c r="F24" i="7"/>
  <c r="E24" i="7"/>
  <c r="F23" i="7"/>
  <c r="E23" i="7"/>
  <c r="F22" i="7"/>
  <c r="E22" i="7"/>
  <c r="F21" i="7"/>
  <c r="E21" i="7"/>
  <c r="F20" i="7"/>
  <c r="E20" i="7"/>
  <c r="F19" i="7"/>
  <c r="E19" i="7"/>
  <c r="F18" i="7"/>
  <c r="E18" i="7"/>
  <c r="F17" i="7"/>
  <c r="E17" i="7"/>
  <c r="J16" i="7"/>
  <c r="I16" i="7"/>
  <c r="F16" i="7"/>
  <c r="C16" i="7"/>
  <c r="J15" i="7"/>
  <c r="I15" i="7"/>
  <c r="F15" i="7"/>
  <c r="C15" i="7"/>
  <c r="J14" i="7"/>
  <c r="I14" i="7"/>
  <c r="C14" i="7"/>
  <c r="F14" i="7" s="1"/>
  <c r="J13" i="7"/>
  <c r="I13" i="7"/>
  <c r="F13" i="7"/>
  <c r="J12" i="7"/>
  <c r="I12" i="7"/>
  <c r="F12" i="7"/>
  <c r="J11" i="7"/>
  <c r="I11" i="7"/>
  <c r="F11" i="7"/>
  <c r="J10" i="7"/>
  <c r="I10" i="7"/>
  <c r="F10" i="7"/>
  <c r="J9" i="7"/>
  <c r="I9" i="7"/>
  <c r="F9" i="7"/>
  <c r="J8" i="7"/>
  <c r="I8" i="7"/>
  <c r="F8" i="7"/>
  <c r="J7" i="7"/>
  <c r="I7" i="7"/>
  <c r="F7" i="7"/>
  <c r="J6" i="7"/>
  <c r="I6" i="7"/>
  <c r="F6" i="7"/>
  <c r="J5" i="7"/>
  <c r="I5" i="7"/>
  <c r="F5" i="7"/>
  <c r="C24" i="6"/>
  <c r="C17" i="6"/>
  <c r="D13" i="6"/>
  <c r="C10" i="6"/>
  <c r="C9" i="6"/>
  <c r="D6" i="6"/>
  <c r="D5" i="6"/>
  <c r="D21" i="5"/>
  <c r="D20" i="5"/>
  <c r="D19" i="5"/>
  <c r="C19" i="5"/>
  <c r="G19" i="5" s="1"/>
  <c r="D18" i="5"/>
  <c r="D17" i="5"/>
  <c r="D16" i="5"/>
  <c r="C11" i="5"/>
  <c r="C8" i="5"/>
  <c r="H33" i="4"/>
  <c r="G33" i="4"/>
  <c r="F33" i="4"/>
  <c r="E33" i="4"/>
  <c r="D33" i="4"/>
  <c r="F18" i="4"/>
  <c r="F32" i="4" s="1"/>
  <c r="E18" i="4"/>
  <c r="E32" i="4" s="1"/>
  <c r="D18" i="4"/>
  <c r="D32" i="4" s="1"/>
  <c r="C18" i="4"/>
  <c r="C32" i="4" s="1"/>
  <c r="H17" i="4"/>
  <c r="G17" i="4"/>
  <c r="F17" i="4"/>
  <c r="F19" i="4" s="1"/>
  <c r="E17" i="4"/>
  <c r="E19" i="4" s="1"/>
  <c r="D17" i="4"/>
  <c r="D19" i="4" s="1"/>
  <c r="C17" i="4"/>
  <c r="C19" i="4" s="1"/>
  <c r="F14" i="4"/>
  <c r="E14" i="4"/>
  <c r="D14" i="4"/>
  <c r="C14" i="4"/>
  <c r="H13" i="4"/>
  <c r="G13" i="4"/>
  <c r="F13" i="4"/>
  <c r="F15" i="4" s="1"/>
  <c r="F21" i="4" s="1"/>
  <c r="E84" i="7" s="1"/>
  <c r="E13" i="4"/>
  <c r="E15" i="4" s="1"/>
  <c r="E21" i="4" s="1"/>
  <c r="E83" i="7" s="1"/>
  <c r="D13" i="4"/>
  <c r="D15" i="4" s="1"/>
  <c r="D21" i="4" s="1"/>
  <c r="E82" i="7" s="1"/>
  <c r="C13" i="4"/>
  <c r="C15" i="4" s="1"/>
  <c r="H10" i="4"/>
  <c r="G10" i="4"/>
  <c r="F10" i="4"/>
  <c r="E10" i="4"/>
  <c r="D10" i="4"/>
  <c r="C10" i="4"/>
  <c r="H9" i="4"/>
  <c r="G9" i="4"/>
  <c r="F9" i="4"/>
  <c r="E9" i="4"/>
  <c r="D9" i="4"/>
  <c r="C9" i="4"/>
  <c r="H8" i="4"/>
  <c r="G8" i="4"/>
  <c r="F8" i="4"/>
  <c r="E8" i="4"/>
  <c r="D8" i="4"/>
  <c r="C8" i="4"/>
  <c r="H7" i="4"/>
  <c r="G7" i="4"/>
  <c r="F7" i="4"/>
  <c r="E7" i="4"/>
  <c r="D7" i="4"/>
  <c r="C7" i="4"/>
  <c r="H6" i="4"/>
  <c r="H11" i="4" s="1"/>
  <c r="G6" i="4"/>
  <c r="G11" i="4" s="1"/>
  <c r="F6" i="4"/>
  <c r="F11" i="4" s="1"/>
  <c r="E6" i="4"/>
  <c r="E11" i="4" s="1"/>
  <c r="D6" i="4"/>
  <c r="D11" i="4" s="1"/>
  <c r="C6" i="4"/>
  <c r="C11" i="4" s="1"/>
  <c r="C13" i="3"/>
  <c r="C11" i="3"/>
  <c r="C12" i="3" s="1"/>
  <c r="C10" i="3"/>
  <c r="C21" i="5" s="1"/>
  <c r="G21" i="5" s="1"/>
  <c r="C7" i="3"/>
  <c r="D96" i="2"/>
  <c r="D95" i="2"/>
  <c r="D82" i="2"/>
  <c r="C10" i="5" s="1"/>
  <c r="C18" i="5" s="1"/>
  <c r="G18" i="5" s="1"/>
  <c r="D76" i="2"/>
  <c r="D51" i="2"/>
  <c r="C6" i="8" s="1"/>
  <c r="D19" i="2"/>
  <c r="C12" i="5" l="1"/>
  <c r="C20" i="5"/>
  <c r="G20" i="5" s="1"/>
  <c r="C13" i="5"/>
  <c r="C17" i="5"/>
  <c r="G17" i="5" s="1"/>
  <c r="C9" i="5"/>
  <c r="M23" i="7"/>
  <c r="C28" i="5"/>
  <c r="D18" i="6" s="1"/>
  <c r="C35" i="5"/>
  <c r="M18" i="7"/>
  <c r="C36" i="5"/>
  <c r="M17" i="7"/>
  <c r="M16" i="7"/>
  <c r="M15" i="7"/>
  <c r="M14" i="7"/>
  <c r="M13" i="7"/>
  <c r="M12" i="7"/>
  <c r="M11" i="7"/>
  <c r="I86" i="7"/>
  <c r="I85" i="7"/>
  <c r="I84" i="7"/>
  <c r="E34" i="4"/>
  <c r="E36" i="4"/>
  <c r="K83" i="7" s="1"/>
  <c r="I83" i="7"/>
  <c r="F29" i="4"/>
  <c r="F30" i="4"/>
  <c r="F31" i="4"/>
  <c r="E30" i="4"/>
  <c r="H83" i="7" s="1"/>
  <c r="E29" i="4"/>
  <c r="E31" i="4"/>
  <c r="D29" i="4"/>
  <c r="D30" i="4"/>
  <c r="D31" i="4"/>
  <c r="C29" i="4"/>
  <c r="C30" i="4"/>
  <c r="C31" i="4"/>
  <c r="C21" i="4"/>
  <c r="E81" i="7" s="1"/>
  <c r="C8" i="8"/>
  <c r="F86" i="7"/>
  <c r="F85" i="7"/>
  <c r="F22" i="4"/>
  <c r="F84" i="7"/>
  <c r="E22" i="4"/>
  <c r="F83" i="7"/>
  <c r="D22" i="4"/>
  <c r="F82" i="7"/>
  <c r="C22" i="4"/>
  <c r="F81" i="7"/>
  <c r="D8" i="8"/>
  <c r="C8" i="6"/>
  <c r="D8" i="6"/>
  <c r="D111" i="2"/>
  <c r="C34" i="5" s="1"/>
  <c r="C37" i="5" s="1"/>
  <c r="C26" i="5"/>
  <c r="C29" i="5"/>
  <c r="C6" i="6"/>
  <c r="D22" i="5"/>
  <c r="D23" i="5"/>
  <c r="H15" i="7"/>
  <c r="H12" i="7"/>
  <c r="H11" i="7"/>
  <c r="H23" i="7"/>
  <c r="H10" i="7"/>
  <c r="H8" i="7"/>
  <c r="H7" i="7"/>
  <c r="H6" i="7"/>
  <c r="H5" i="7"/>
  <c r="D10" i="6"/>
  <c r="H13" i="7"/>
  <c r="J25" i="7"/>
  <c r="H16" i="7"/>
  <c r="H9" i="7"/>
  <c r="H18" i="7"/>
  <c r="H19" i="7"/>
  <c r="H24" i="7"/>
  <c r="J24" i="7"/>
  <c r="J23" i="7"/>
  <c r="J27" i="7"/>
  <c r="J28" i="7"/>
  <c r="H28" i="7"/>
  <c r="H27" i="7"/>
  <c r="J26" i="7"/>
  <c r="H26" i="7"/>
  <c r="H25" i="7"/>
  <c r="H14" i="7"/>
  <c r="H21" i="7"/>
  <c r="J21" i="7"/>
  <c r="H22" i="7"/>
  <c r="J20" i="7"/>
  <c r="H20" i="7"/>
  <c r="J22" i="7"/>
  <c r="J19" i="7"/>
  <c r="J18" i="7"/>
  <c r="J17" i="7"/>
  <c r="H17" i="7"/>
  <c r="I23" i="7"/>
  <c r="C7" i="8"/>
  <c r="I17" i="7"/>
  <c r="I24" i="7"/>
  <c r="C7" i="5"/>
  <c r="D9" i="6"/>
  <c r="I21" i="7"/>
  <c r="I18" i="7"/>
  <c r="I22" i="7"/>
  <c r="I20" i="7"/>
  <c r="I25" i="7"/>
  <c r="I26" i="7"/>
  <c r="I27" i="7"/>
  <c r="I28" i="7"/>
  <c r="I19" i="7"/>
  <c r="D20" i="2"/>
  <c r="H14" i="4" s="1"/>
  <c r="G14" i="4"/>
  <c r="F24" i="4"/>
  <c r="E24" i="4"/>
  <c r="D24" i="4"/>
  <c r="C24" i="4"/>
  <c r="G28" i="7" l="1"/>
  <c r="K28" i="7" s="1"/>
  <c r="L28" i="7" s="1"/>
  <c r="C7" i="6"/>
  <c r="C12" i="6" s="1"/>
  <c r="G9" i="7"/>
  <c r="G16" i="7"/>
  <c r="D7" i="6"/>
  <c r="G7" i="7"/>
  <c r="G8" i="7"/>
  <c r="G18" i="7"/>
  <c r="K18" i="7" s="1"/>
  <c r="L18" i="7" s="1"/>
  <c r="G19" i="7"/>
  <c r="K19" i="7" s="1"/>
  <c r="L19" i="7" s="1"/>
  <c r="G20" i="7"/>
  <c r="K20" i="7" s="1"/>
  <c r="L20" i="7" s="1"/>
  <c r="G21" i="7"/>
  <c r="K21" i="7" s="1"/>
  <c r="L21" i="7" s="1"/>
  <c r="G22" i="7"/>
  <c r="K22" i="7" s="1"/>
  <c r="L22" i="7" s="1"/>
  <c r="G23" i="7"/>
  <c r="K23" i="7" s="1"/>
  <c r="L23" i="7" s="1"/>
  <c r="C23" i="5"/>
  <c r="G23" i="5" s="1"/>
  <c r="G5" i="7"/>
  <c r="G6" i="7"/>
  <c r="G10" i="7"/>
  <c r="G11" i="7"/>
  <c r="G12" i="7"/>
  <c r="G13" i="7"/>
  <c r="G14" i="7"/>
  <c r="G15" i="7"/>
  <c r="G17" i="7"/>
  <c r="K17" i="7" s="1"/>
  <c r="L17" i="7" s="1"/>
  <c r="G24" i="7"/>
  <c r="K24" i="7" s="1"/>
  <c r="L24" i="7" s="1"/>
  <c r="G25" i="7"/>
  <c r="K25" i="7" s="1"/>
  <c r="L25" i="7" s="1"/>
  <c r="G26" i="7"/>
  <c r="K26" i="7" s="1"/>
  <c r="L26" i="7" s="1"/>
  <c r="G27" i="7"/>
  <c r="K27" i="7" s="1"/>
  <c r="L27" i="7" s="1"/>
  <c r="C22" i="5"/>
  <c r="C10" i="8"/>
  <c r="D34" i="4"/>
  <c r="D36" i="4"/>
  <c r="K82" i="7" s="1"/>
  <c r="H82" i="7"/>
  <c r="C36" i="4"/>
  <c r="K81" i="7" s="1"/>
  <c r="C34" i="4"/>
  <c r="H81" i="7"/>
  <c r="F23" i="4"/>
  <c r="F35" i="4"/>
  <c r="G84" i="7"/>
  <c r="E23" i="4"/>
  <c r="E35" i="4"/>
  <c r="J83" i="7" s="1"/>
  <c r="G83" i="7"/>
  <c r="D23" i="4"/>
  <c r="D35" i="4"/>
  <c r="J82" i="7" s="1"/>
  <c r="G82" i="7"/>
  <c r="C23" i="4"/>
  <c r="C35" i="4"/>
  <c r="J81" i="7" s="1"/>
  <c r="G81" i="7"/>
  <c r="E6" i="7"/>
  <c r="K6" i="7" s="1"/>
  <c r="E7" i="7"/>
  <c r="K7" i="7" s="1"/>
  <c r="E8" i="7"/>
  <c r="K8" i="7" s="1"/>
  <c r="E11" i="7"/>
  <c r="K11" i="7" s="1"/>
  <c r="E5" i="7"/>
  <c r="E9" i="7"/>
  <c r="E10" i="7"/>
  <c r="E12" i="7"/>
  <c r="E13" i="7"/>
  <c r="E14" i="7"/>
  <c r="E15" i="7"/>
  <c r="E16" i="7"/>
  <c r="C16" i="5"/>
  <c r="C5" i="6"/>
  <c r="H15" i="4"/>
  <c r="H18" i="4"/>
  <c r="H29" i="4"/>
  <c r="H30" i="4"/>
  <c r="H31" i="4"/>
  <c r="G15" i="4"/>
  <c r="G18" i="4"/>
  <c r="G29" i="4"/>
  <c r="G30" i="4"/>
  <c r="G31" i="4"/>
  <c r="C11" i="8"/>
  <c r="M5" i="7"/>
  <c r="M9" i="7"/>
  <c r="M20" i="7"/>
  <c r="M7" i="7"/>
  <c r="M10" i="7"/>
  <c r="M28" i="7"/>
  <c r="M8" i="7"/>
  <c r="M22" i="7"/>
  <c r="M19" i="7"/>
  <c r="M21" i="7"/>
  <c r="M24" i="7"/>
  <c r="M6" i="7"/>
  <c r="M27" i="7"/>
  <c r="M26" i="7"/>
  <c r="M25" i="7"/>
  <c r="H84" i="7"/>
  <c r="F34" i="4"/>
  <c r="F36" i="4"/>
  <c r="K84" i="7" s="1"/>
  <c r="D11" i="6" l="1"/>
  <c r="D14" i="6" s="1"/>
  <c r="D12" i="6"/>
  <c r="C27" i="5"/>
  <c r="C18" i="6" s="1"/>
  <c r="D19" i="6" s="1"/>
  <c r="G22" i="5"/>
  <c r="J84" i="7"/>
  <c r="C12" i="8"/>
  <c r="L6" i="7"/>
  <c r="N18" i="7"/>
  <c r="L7" i="7"/>
  <c r="N19" i="7"/>
  <c r="N20" i="7"/>
  <c r="L8" i="7"/>
  <c r="L11" i="7"/>
  <c r="N23" i="7"/>
  <c r="C25" i="5"/>
  <c r="C13" i="6"/>
  <c r="C11" i="6"/>
  <c r="C22" i="6"/>
  <c r="H19" i="4"/>
  <c r="H32" i="4"/>
  <c r="H34" i="4"/>
  <c r="H36" i="4"/>
  <c r="K86" i="7" s="1"/>
  <c r="H86" i="7"/>
  <c r="G19" i="4"/>
  <c r="G32" i="4"/>
  <c r="G34" i="4"/>
  <c r="G36" i="4"/>
  <c r="K85" i="7" s="1"/>
  <c r="H85" i="7"/>
  <c r="K5" i="7"/>
  <c r="K9" i="7"/>
  <c r="K10" i="7"/>
  <c r="K12" i="7"/>
  <c r="K13" i="7"/>
  <c r="K14" i="7"/>
  <c r="K15" i="7"/>
  <c r="K16" i="7"/>
  <c r="C15" i="6" l="1"/>
  <c r="C16" i="6" s="1"/>
  <c r="D17" i="6" s="1"/>
  <c r="C14" i="6"/>
  <c r="C23" i="6"/>
  <c r="H21" i="4"/>
  <c r="H24" i="4"/>
  <c r="G21" i="4"/>
  <c r="G24" i="4"/>
  <c r="L5" i="7"/>
  <c r="N17" i="7"/>
  <c r="N21" i="7"/>
  <c r="L9" i="7"/>
  <c r="N22" i="7"/>
  <c r="L10" i="7"/>
  <c r="N24" i="7"/>
  <c r="L12" i="7"/>
  <c r="N25" i="7"/>
  <c r="L13" i="7"/>
  <c r="N26" i="7"/>
  <c r="L14" i="7"/>
  <c r="L15" i="7"/>
  <c r="N27" i="7"/>
  <c r="N28" i="7"/>
  <c r="L16" i="7"/>
  <c r="E86" i="7" l="1"/>
  <c r="H22" i="4"/>
  <c r="E85" i="7"/>
  <c r="G22" i="4"/>
  <c r="G86" i="7" l="1"/>
  <c r="H35" i="4"/>
  <c r="J86" i="7" s="1"/>
  <c r="H23" i="4"/>
  <c r="G85" i="7"/>
  <c r="G35" i="4"/>
  <c r="J85" i="7" s="1"/>
  <c r="G23" i="4"/>
</calcChain>
</file>

<file path=xl/sharedStrings.xml><?xml version="1.0" encoding="utf-8"?>
<sst xmlns="http://schemas.openxmlformats.org/spreadsheetml/2006/main" count="1064" uniqueCount="742">
  <si>
    <t>ID</t>
  </si>
  <si>
    <t>Parameter</t>
  </si>
  <si>
    <t>Unit</t>
  </si>
  <si>
    <t>Value</t>
  </si>
  <si>
    <t>Source</t>
  </si>
  <si>
    <t>Date</t>
  </si>
  <si>
    <t>Reliability</t>
  </si>
  <si>
    <t>Note</t>
  </si>
  <si>
    <t>A. Gas balance, 2025 (ESDM Handbook of Energy &amp; Economic Statistics 2025, table 6.3.3; thousand MMBtu a year ÷ 365 = BBTUD)</t>
  </si>
  <si>
    <t>A1</t>
  </si>
  <si>
    <t>Industry (pipeline gas)</t>
  </si>
  <si>
    <t>BBTUD</t>
  </si>
  <si>
    <t>ESDM Handbook 2025, table 6.3.3 Gas Utilization</t>
  </si>
  <si>
    <t>2025</t>
  </si>
  <si>
    <t>verified</t>
  </si>
  <si>
    <t>2023: 1,432; 2024: 1,103; 2025: 967 — pipeline gas to industry fell 32% in two years</t>
  </si>
  <si>
    <t>A2</t>
  </si>
  <si>
    <t>Fertiliser</t>
  </si>
  <si>
    <t>Cross-check: Pupuk Indonesia AR 2025 — 7.63 Mt urea × 27.61 MMBtu/t plus merchant ammonia ≈ 680 BBTUD (our calc)</t>
  </si>
  <si>
    <t>A3</t>
  </si>
  <si>
    <t>Power (pipeline gas)</t>
  </si>
  <si>
    <t>PLN's total gas burn incl. LNG was ~1,320 BBTUD (E5); the difference is regasified LNG</t>
  </si>
  <si>
    <t>A4</t>
  </si>
  <si>
    <t>Refinery</t>
  </si>
  <si>
    <t>A5</t>
  </si>
  <si>
    <t>LNG regasified for domestic use (power + industry)</t>
  </si>
  <si>
    <t>A route, not an end-user; 2023: 568; 2024: 697; 2025: 762</t>
  </si>
  <si>
    <t>A6</t>
  </si>
  <si>
    <t>LPG, city gas, gas fuel (domestic)</t>
  </si>
  <si>
    <t>A7</t>
  </si>
  <si>
    <t>Upstream own use (lifting / secondary recovery)</t>
  </si>
  <si>
    <t>A8</t>
  </si>
  <si>
    <t>Pipeline exports (Singapore, Malaysia)</t>
  </si>
  <si>
    <t>Cut by 31 BBTUD from 24 Oct 2026 (SKK Migas via Reuters/S&amp;P Global). Bahlil (The Straits Times, 26 Oct 2026) puts pipeline exports to Singapore at 409.55 MMscfd, i.e. almost all of this row; Bloomberg (27 Oct) computes the cut as ~14% of 2025 average daily flows to Singapore, implying a lower actual flow. Malaysia split not published</t>
  </si>
  <si>
    <t>A9</t>
  </si>
  <si>
    <t>LNG exports</t>
  </si>
  <si>
    <t>561 TBtu, down 7.7% y/y 'reflecting higher domestic absorption' (Handbook)</t>
  </si>
  <si>
    <t>A10</t>
  </si>
  <si>
    <t>Domestic demand growth, 2026–30</t>
  </si>
  <si>
    <t>%/yr</t>
  </si>
  <si>
    <t>Assumption; IEA Global Gas Security Review 2026 reports Indonesian gas consumption +6% y/y in Jan–Aug 2026</t>
  </si>
  <si>
    <t>Oct 2026</t>
  </si>
  <si>
    <t>assumption</t>
  </si>
  <si>
    <t>Applied to A1–A6; own use held flat</t>
  </si>
  <si>
    <t>A11</t>
  </si>
  <si>
    <t>Share of fertiliser gas that makes subsidised fertiliser</t>
  </si>
  <si>
    <t>%</t>
  </si>
  <si>
    <t>Pupuk Indonesia AR 2025: 8.11 Mt subsidised of 12.53 Mt produced</t>
  </si>
  <si>
    <t>our calc</t>
  </si>
  <si>
    <t>Volume basis; defines the regulated tier under the corrected path</t>
  </si>
  <si>
    <t>B. Supply (production basis) and projects</t>
  </si>
  <si>
    <t>B1</t>
  </si>
  <si>
    <t>Gas available to the market, 2025 (= total utilisation)</t>
  </si>
  <si>
    <t>Sum of A1–A9. Gross production was 6,752.6 MMscfd before shrinkage, flaring and reinjection (Handbook)</t>
  </si>
  <si>
    <t>B2</t>
  </si>
  <si>
    <t>Base decline of existing fields</t>
  </si>
  <si>
    <t>Kontan Insight 11 Aug 2024 (8,078 MMscfd in 2015 → 6,640 in 2023); Handbook 2024→2025 −1.0%</t>
  </si>
  <si>
    <t>2015–25</t>
  </si>
  <si>
    <t>Applied to B1 from 2026</t>
  </si>
  <si>
    <t>B3</t>
  </si>
  <si>
    <t>Eni Kutei hubs (Geng North/Gehem + Gendalo/Gandang): first gas</t>
  </si>
  <si>
    <t>year</t>
  </si>
  <si>
    <t>Eni press release 18 Mar 2026: both hubs 'expected to start up in 2028', plateau 2 bscfd in 2029. North Hub first gas agreed for end-2028 (operator via Kompas, per ZMK Advisory 18 Oct 2026); Bontang Train F due back Oct 2028 (Badak LNG via IDX Channel 16 Oct 2025)</t>
  </si>
  <si>
    <t>Mar 2026</t>
  </si>
  <si>
    <t>Gas lands at Santan and feeds the East Kalimantan pipeline network and Bontang LNG. There is no pipeline to Java: Java gets the LNG tranche only (J5). Ramp in B4–B6, net of the Jangkrik output the South Hub replaces (J2)</t>
  </si>
  <si>
    <t>B4</t>
  </si>
  <si>
    <t>Eni hubs volume 2028, net new to the 2025 base</t>
  </si>
  <si>
    <t>Assumption: North Hub first gas is end-2028 and Train F is due Oct 2028, so 2028 carries South Hub tie-back gas only; net new to the 2025 base</t>
  </si>
  <si>
    <t>B5</t>
  </si>
  <si>
    <t>Eni hubs volume 2029, net new to the 2025 base</t>
  </si>
  <si>
    <t>J1 − J2: Eni's 2 bscfd plateau less the Jangkrik/Merakes output already in the 2025 base (our calc)</t>
  </si>
  <si>
    <t>B6</t>
  </si>
  <si>
    <t>Eni hubs volume 2030, net new (plus Geliga/Gula if J13 = 1)</t>
  </si>
  <si>
    <t>Eni plateau held; Geliga/Gula third hub added only if toggled (J13–J14)</t>
  </si>
  <si>
    <t>B7</t>
  </si>
  <si>
    <t>Share of new Eni gas that goes to LNG export</t>
  </si>
  <si>
    <t>SKK Migas head Djoko Siswanto via Kumparan 24 Jul 2026: North Hub gas 72% domestic, 28% export. Applied to both hubs (the split was stated for the North Hub)</t>
  </si>
  <si>
    <t>Jul 2026</t>
  </si>
  <si>
    <t>single-source (oral); applied beyond its stated scope</t>
  </si>
  <si>
    <t>B8</t>
  </si>
  <si>
    <t>Export commitments 2026 (pipeline + LNG)</t>
  </si>
  <si>
    <t>Assumption: 2025 actual 1,955 BBTUD; Bahlil (May 2026): no cut to 2026 export quotas</t>
  </si>
  <si>
    <t>Singapore pipeline cut (24 Oct 2026) is handled separately in J11–J12</t>
  </si>
  <si>
    <t>B9</t>
  </si>
  <si>
    <t>Export commitment roll-off per year</t>
  </si>
  <si>
    <t>Assumption</t>
  </si>
  <si>
    <t>C. LNG cargoes</t>
  </si>
  <si>
    <t>C1</t>
  </si>
  <si>
    <t>Cargo size</t>
  </si>
  <si>
    <t>TBtu</t>
  </si>
  <si>
    <t>Our convention: Tangguh 11.4 Mtpa ≈ 180 cargoes (bp via S&amp;P Global 3 Jun 2026) → ~63,000 t ≈ 3.3 TBtu</t>
  </si>
  <si>
    <t>C2</t>
  </si>
  <si>
    <t>PLN LNG need 2026</t>
  </si>
  <si>
    <t>cargoes</t>
  </si>
  <si>
    <t>PLN EPI via S&amp;P Global 1 Dec 2025: 62 bp long-term + 15 Bontang + 17 Tangguh indicated + 9 awaiting allocation</t>
  </si>
  <si>
    <t>Dec 2025</t>
  </si>
  <si>
    <t>single-source</t>
  </si>
  <si>
    <t>C3</t>
  </si>
  <si>
    <t>PGN LNG need 2026</t>
  </si>
  <si>
    <t>PGN to DPR via S&amp;P Global 1 Dec 2025 (14 secured)</t>
  </si>
  <si>
    <t>Nov 2025</t>
  </si>
  <si>
    <t>C4</t>
  </si>
  <si>
    <t>Tangguh domestic deliveries 2025 / 2026</t>
  </si>
  <si>
    <t>bp to DPR via S&amp;P Global 3 Jun 2026: 85 in 2025 (≈82% of domestic LNG demand), 89 planned 2026 (≈71%)</t>
  </si>
  <si>
    <t>Jun 2026</t>
  </si>
  <si>
    <t>Implies domestic LNG demand ≈104 cargoes (2025) → ≈125 (2026), our calc</t>
  </si>
  <si>
    <t>C5</t>
  </si>
  <si>
    <t>PLN long-term contract cargoes (bp)</t>
  </si>
  <si>
    <t>PLN EPI via S&amp;P Global 1 Dec 2025</t>
  </si>
  <si>
    <t>D. Prices (US$/MMBtu)</t>
  </si>
  <si>
    <t>D1</t>
  </si>
  <si>
    <t>Regulated (HGBT) price — feedstock (fertiliser, petrochemicals)</t>
  </si>
  <si>
    <t>$/MMBtu</t>
  </si>
  <si>
    <t>Kepmen ESDM 76.K/MG.01/MEM.M/2025 (26 Feb 2025), plant gate</t>
  </si>
  <si>
    <t>Feb 2025</t>
  </si>
  <si>
    <t>D2</t>
  </si>
  <si>
    <t>Regulated (HGBT) price — fuel for industry and power</t>
  </si>
  <si>
    <t>Kepmen 76.K/2025 (industry fuel); Kepmen 77.K/2025 (power plant gate)</t>
  </si>
  <si>
    <t>D3</t>
  </si>
  <si>
    <t>Non-regulated pipeline gas, West Java</t>
  </si>
  <si>
    <t>Bahlil, 29 Jun 2026 (ANTARA; CNBC Indonesia 6 Jul 2026)</t>
  </si>
  <si>
    <t>D4</t>
  </si>
  <si>
    <t>Announced LNG cap for non-HGBT industry, W Java/Banten/Jakarta, Jul–Dec 2026</t>
  </si>
  <si>
    <t>Bahlil, 29 Jun 2026, on the President's direction (ANTARA). No regulation number found; funder not stated</t>
  </si>
  <si>
    <t>verified price; no instrument</t>
  </si>
  <si>
    <t>D5</t>
  </si>
  <si>
    <t>PGN regasified LNG price to industry, Jan–May 2026</t>
  </si>
  <si>
    <t>Kemenperin compilation via Investortrust 28 Jun 2026</t>
  </si>
  <si>
    <t>D6</t>
  </si>
  <si>
    <t>PGN regasified LNG price, June 2026 (projected, pre-cap)</t>
  </si>
  <si>
    <t>Kemenperin via Investortrust; Bahlil quoted '$20–23' (CNBC Indonesia 6 Jul 2026)</t>
  </si>
  <si>
    <t>verified (projection)</t>
  </si>
  <si>
    <t>D7</t>
  </si>
  <si>
    <t>JKM, Dec-26 contract settlement</t>
  </si>
  <si>
    <t>CME Group JKM futures settlements, trade date 5 Nov 2026 (public page)</t>
  </si>
  <si>
    <t>5 Nov 2026</t>
  </si>
  <si>
    <t>Jan-27 30.04; Feb-27 29.325</t>
  </si>
  <si>
    <t>D8</t>
  </si>
  <si>
    <t>Henry Hub, Dec-26 settlement</t>
  </si>
  <si>
    <t>CME Group Henry Hub settlements, 5 Nov 2026</t>
  </si>
  <si>
    <t>D9</t>
  </si>
  <si>
    <t>Shipping + regasification adder, domestic LNG to Java</t>
  </si>
  <si>
    <t>Assumption: typical published FSRU tariffs $1.5–2.0</t>
  </si>
  <si>
    <t>D10</t>
  </si>
  <si>
    <t>Upstream reference price for HGBT gas (what the state's share would earn)</t>
  </si>
  <si>
    <t>Calibrated so that F1 at 2023 volumes ≈ Rp15.7tr (Kemenkeu via Kontan 25 Mar 2024); Reforminer: ~$6 wellhead west, ~$9 plant gate</t>
  </si>
  <si>
    <t>See Checks C1</t>
  </si>
  <si>
    <t>D11</t>
  </si>
  <si>
    <t>Regulated upstream price under HGBT</t>
  </si>
  <si>
    <t>Kepmen 76.K/2025 annex: adjusted upstream prices ~5.3–5.5 plus ~$1 transport = $6.50 plant gate</t>
  </si>
  <si>
    <t>verified (range)</t>
  </si>
  <si>
    <t>D12</t>
  </si>
  <si>
    <t>PLN average gas price paid, 2025</t>
  </si>
  <si>
    <t>PLN Statistik 2025 table 59: Rp120,089/MSCF; ÷1,030 Btu/scf ÷ Rp16,350/$ (our calc)</t>
  </si>
  <si>
    <t>≈ the regulated power price. PLN's long-term domestic LNG is priced like pipeline gas; only spot/re-routed cargoes cost more</t>
  </si>
  <si>
    <t>D13</t>
  </si>
  <si>
    <t>Price of PLN's contracted domestic LNG (long-term)</t>
  </si>
  <si>
    <t>Assumption, consistent with D12</t>
  </si>
  <si>
    <t>D14</t>
  </si>
  <si>
    <t>Budget assumption for PLN's marginal LNG (what the tariff/compensation plan assumed)</t>
  </si>
  <si>
    <t>E. Power (PLN Statistik 2025 unless stated)</t>
  </si>
  <si>
    <t>E1</t>
  </si>
  <si>
    <t>Electricity sold</t>
  </si>
  <si>
    <t>TWh</t>
  </si>
  <si>
    <t>PLN Statistik 2025, summary §3</t>
  </si>
  <si>
    <t>E2</t>
  </si>
  <si>
    <t>Average revenue per kWh sold (sales revenue ÷ kWh)</t>
  </si>
  <si>
    <t>Rp/kWh</t>
  </si>
  <si>
    <t>PLN Statistik 2025: Rp367.1tr sales ÷ 317.7 TWh (our calc); AP2T average Rp1,112.69</t>
  </si>
  <si>
    <t>E3</t>
  </si>
  <si>
    <t>Operating cost per kWh sold (opex ÷ kWh)</t>
  </si>
  <si>
    <t>PLN Statistik 2025 table 63: Rp533.5tr opex ÷ 317.7 TWh (our calc); +Rp24.2tr net finance cost ≈ Rp1,755</t>
  </si>
  <si>
    <t>E4</t>
  </si>
  <si>
    <t>Gas-fired generation (PLN, IPP, leased)</t>
  </si>
  <si>
    <t>PLN Statistik 2025 table 26 (Indonesia total)</t>
  </si>
  <si>
    <t>Coal 233.4 TWh; oil 14.9; of 354.9 TWh total production</t>
  </si>
  <si>
    <t>E5</t>
  </si>
  <si>
    <t>Gas burned in power plants</t>
  </si>
  <si>
    <t>PLN Statistik 2025 table 58: 466,995 MMscf × 1.030 MMBtu/Mscf ÷ 365 (our calc)</t>
  </si>
  <si>
    <t>E6</t>
  </si>
  <si>
    <t>Implied heat rate</t>
  </si>
  <si>
    <t>MMBtu/MWh</t>
  </si>
  <si>
    <t>Equals E5 × 365 ÷ E4 ÷ 1000 (our calc)</t>
  </si>
  <si>
    <t>E7</t>
  </si>
  <si>
    <t>Government subsidy + compensation booked by PLN</t>
  </si>
  <si>
    <t>Rp tr</t>
  </si>
  <si>
    <t>PLN Statistik 2025 table 63 (subsidy 87.46 + compensation 112.73)</t>
  </si>
  <si>
    <t>Net profit Rp7.26tr</t>
  </si>
  <si>
    <t>E8</t>
  </si>
  <si>
    <t>Share of PLN sales to non-subsidised customers</t>
  </si>
  <si>
    <t>ESDM to DPR via KabarBursa 5 Jun 2026: 83.6 of 348.78 TWh subsidised (2027 projection); our calc</t>
  </si>
  <si>
    <t>E9</t>
  </si>
  <si>
    <t>PLN's own figure: fuel cost of LNG-fired power at LNG $19–20</t>
  </si>
  <si>
    <t>US¢/kWh</t>
  </si>
  <si>
    <t>PLN to DPR Komisi XII via Jakarta Post 15 Apr 2026</t>
  </si>
  <si>
    <t>Apr 2026</t>
  </si>
  <si>
    <t>Consistent with E6 × ($19.5 + adder): LNG-fired output only, not the fleet (our reading)</t>
  </si>
  <si>
    <t>F. Fiscal (Kemenkeu APBN KiTa, October 2026 edition, unless stated)</t>
  </si>
  <si>
    <t>F1</t>
  </si>
  <si>
    <t>ICP assumed in the 2026 budget law</t>
  </si>
  <si>
    <t>$/bbl</t>
  </si>
  <si>
    <t>Kemenkeu, APBN KiTa press-conference deck, October 2026 (realisation to 30 Sep 2026), p.13</t>
  </si>
  <si>
    <t>F2</t>
  </si>
  <si>
    <t>ICP, Jan–Sep 2026 average</t>
  </si>
  <si>
    <t>Sept 2026 monthly 112.81 (APBN KiTa via KabarBursa 13 Oct 2026); 19 Oct spot 105–106 (Setkab)</t>
  </si>
  <si>
    <t>F3</t>
  </si>
  <si>
    <t>Rupiah per US$: 2026 budget / 2026 year-to-date average</t>
  </si>
  <si>
    <t>Rp/$</t>
  </si>
  <si>
    <t>Kemenkeu, APBN KiTa press-conference deck, October 2026 (realisation to 30 Sep 2026), p.13 (budget 16,500; ytd 17,449; end-Sep 17,937)</t>
  </si>
  <si>
    <t>F4</t>
  </si>
  <si>
    <t>Energy subsidy allocation, APBN 2026</t>
  </si>
  <si>
    <t>ANTARA 11 Sep 2026 (Bahlil)</t>
  </si>
  <si>
    <t>Sep 2026</t>
  </si>
  <si>
    <t>F5</t>
  </si>
  <si>
    <t>Energy subsidy + compensation allocation, APBN 2026</t>
  </si>
  <si>
    <t>Suahasil Nazara via Fortune Indonesia 6 Aug 2026; reconciles with APBN KiTa: Rp376.8tr = 84.3% of Rp447tr total subsidies+compensation incl. non-energy (our calc)</t>
  </si>
  <si>
    <t>Aug 2026</t>
  </si>
  <si>
    <t>verified (reconciled)</t>
  </si>
  <si>
    <t>ANTARA 11 Sep quotes Rp381.3tr on another basis</t>
  </si>
  <si>
    <t>F6</t>
  </si>
  <si>
    <t>Subsidy + compensation paid, Jan–Sep 2026 (all, incl. fertiliser)</t>
  </si>
  <si>
    <t>Kemenkeu, APBN KiTa press-conference deck, October 2026 (realisation to 30 Sep 2026), p.27: subsidy 222.5 + compensation 154.4; +54.1% y/y</t>
  </si>
  <si>
    <t>Jan–Sep 2025: 244.6; 2024: 297.0; 2023: 273.6; 2022: 272.0</t>
  </si>
  <si>
    <t>F7</t>
  </si>
  <si>
    <t>Full-year 2026 projection, subsidy + compensation</t>
  </si>
  <si>
    <t>Suahasil Nazara via Fortune Indonesia 6 Aug 2026</t>
  </si>
  <si>
    <t>Run-rate check: 376.8 × 12/9 = 502 (our calc)</t>
  </si>
  <si>
    <t>F8</t>
  </si>
  <si>
    <t>Spending sensitivity to ICP, whole budget</t>
  </si>
  <si>
    <t>Rp tr per $1/bbl</t>
  </si>
  <si>
    <t>Nota Keuangan RAPBN 2027 via Kompas.com 24 Aug 2026 (revenue +3.0, spending +11.4, deficit +8.5)</t>
  </si>
  <si>
    <t>Includes revenue-sharing transfers and all oil-linked spending, not only energy subsidies</t>
  </si>
  <si>
    <t>F9</t>
  </si>
  <si>
    <t>Energy subsidy + compensation sensitivity to ICP (used in F4 line)</t>
  </si>
  <si>
    <t>Our calibration: 2026 energy spend ≈ Rp455tr (Kemenkeu projection less non-energy) at ICP ~92 and Rp17,449/$ vs Rp338tr budget at $70 and 16,500; headline figures say ~Rp5tr</t>
  </si>
  <si>
    <t>F10</t>
  </si>
  <si>
    <t>Energy subsidy + compensation sensitivity to FX</t>
  </si>
  <si>
    <t>Rp tr per Rp100/$</t>
  </si>
  <si>
    <t>Assumption: whole-budget spending sensitivity Rp8.0tr per Rp100 (Nota Keuangan 2027); energy share taken as ~40%</t>
  </si>
  <si>
    <t>F11</t>
  </si>
  <si>
    <t>2026 deficit outlook (Laporan Semester I)</t>
  </si>
  <si>
    <t>% GDP</t>
  </si>
  <si>
    <t>Kemenkeu Lapsem I via Investortrust 7 Jul 2026; Rp734.3tr; APBN 2026 law 2.68% (Rp689.1tr)</t>
  </si>
  <si>
    <t>Jan–Sep realised 1.24% of GDP (APBN KiTa). Legal cap 3%</t>
  </si>
  <si>
    <t>F12</t>
  </si>
  <si>
    <t>GDP implied</t>
  </si>
  <si>
    <t>our calc from F11</t>
  </si>
  <si>
    <t>F13</t>
  </si>
  <si>
    <t>HGBT forgone upstream revenue 2021 / 2022 / 2023</t>
  </si>
  <si>
    <t>Kemenkeu via Kontan 25 Mar 2024: 16.46 / 12.93 / 15.67 (sum 45.06). 'Not part of the energy subsidy programme'</t>
  </si>
  <si>
    <t>Mar 2024</t>
  </si>
  <si>
    <t>Cumulative 2020–24: Rp81.5–87.6tr (DPR research unit Sept 2025; BPH Migas) — definitions differ</t>
  </si>
  <si>
    <t>F14</t>
  </si>
  <si>
    <t>Kemenperin's claimed offsets 2021–23: extra tax / fertiliser-subsidy saving</t>
  </si>
  <si>
    <t>Kemenperin via VOI (tax 27.81; fertiliser saving 13.33). Kemenperin to Kemenkeu/ESDM Mar 2024: HGBT value Rp51.04tr incl. power, 'value added' Rp157.2tr (detikFinance 23 Mar 2024)</t>
  </si>
  <si>
    <t>single-source (interested party)</t>
  </si>
  <si>
    <t>F15</t>
  </si>
  <si>
    <t>Fertiliser-subsidy sensitivity to gas price</t>
  </si>
  <si>
    <t>Rp tr per $1/MMBtu</t>
  </si>
  <si>
    <t>Pupuk Indonesia CEO via Jakarta Post 14 Mar 2024</t>
  </si>
  <si>
    <t>Implies ≈430 BBTUD of subsidised-fertiliser gas at Rp16,500/$ (our calc) — matches A2 × A11</t>
  </si>
  <si>
    <t>F16</t>
  </si>
  <si>
    <t>Fertiliser subsidy, APBN 2026</t>
  </si>
  <si>
    <t>Kemenkeu, APBN KiTa press-conference deck, October 2026 (realisation to 30 Sep 2026), p.33</t>
  </si>
  <si>
    <t>F17</t>
  </si>
  <si>
    <t>Cost recovery planned for 2027</t>
  </si>
  <si>
    <t>US$ bn</t>
  </si>
  <si>
    <t>DPR Komisi XII chair via CNBC Indonesia 8 Sep 2026 (≈Rp175tr)</t>
  </si>
  <si>
    <t>F18</t>
  </si>
  <si>
    <t>ICP by month 2026: Jan / Feb / Apr / May / Jun / Jul / Aug / Sep / Oct</t>
  </si>
  <si>
    <t>ESDM monthly ICP decrees: Jan 64.41; Feb 68.79 (Kepmen 115.K/MG.03/MEM.M/2026); Apr 117.31 (203.K); May 106.56; Jun 83.45; Jul 81.68 (319.K); Aug 89.43 (352.K); Sep 112.81 (395.K); Oct ~105–106 mid-month, final decree pending</t>
  </si>
  <si>
    <t>verified (official decrees)</t>
  </si>
  <si>
    <t>Value shown = September. March not published in our set; implied ≈ $102.7 from the Jan–Sep average of 91.9 (our calc)</t>
  </si>
  <si>
    <t>F19</t>
  </si>
  <si>
    <t>ICP March 2026, implied</t>
  </si>
  <si>
    <t>our calc: 9 × 91.9 − sum of the other eight months</t>
  </si>
  <si>
    <t>G. HGBT ration — eligible demand, allocation and delivery (2026)</t>
  </si>
  <si>
    <t>G1</t>
  </si>
  <si>
    <t>Fertiliser: eligible demand</t>
  </si>
  <si>
    <t>Equals A2 (Handbook 2025)</t>
  </si>
  <si>
    <t>link</t>
  </si>
  <si>
    <t>G2</t>
  </si>
  <si>
    <t>Fertiliser: allocation as % of eligible</t>
  </si>
  <si>
    <t>Assumption: fertiliser plants are mostly outside West Java and keep supply; ESDM (Apr 2024) notes only a slight decline in fertiliser realisation</t>
  </si>
  <si>
    <t>G3</t>
  </si>
  <si>
    <t>Fertiliser: realisation (delivered ÷ allocation)</t>
  </si>
  <si>
    <t>Assumption; ESDM Apr 2024: shortfalls from plant maintenance and upstream limits</t>
  </si>
  <si>
    <t>G4</t>
  </si>
  <si>
    <t>Six other industries (petchem, oleochem, steel, ceramics, glass, gloves): eligible demand</t>
  </si>
  <si>
    <t>Assumption: company-level volumes in the Kepmen 76.K/2025 annex (our OCR tally, incomplete) sum to ~370 BBTUD ex-fertiliser; DPR puts total allocations 2021–23 at ~1,250 BBTUD incl. power</t>
  </si>
  <si>
    <t>G5</t>
  </si>
  <si>
    <t>Six industries: 2026 allocation as % of 2023 allocation</t>
  </si>
  <si>
    <t>Kemenperin via Investortrust 28 Jun 2026 (Kepmen 76/2025 vs Kepmen 91/2023)</t>
  </si>
  <si>
    <t>G6</t>
  </si>
  <si>
    <t>Six industries: realisation 2026 (delivered ÷ allocation)</t>
  </si>
  <si>
    <t>W Java: 88.7% (2023), 78.7% (2024), 65.7% (2025), 46.4% Jan–Apr 2026, low month 37.5% (Kemenperin). National is higher (E Java 100% post-July). We take 55%</t>
  </si>
  <si>
    <t>Jun–Aug 2026</t>
  </si>
  <si>
    <t>G7</t>
  </si>
  <si>
    <t>Power: eligible demand at regulated price</t>
  </si>
  <si>
    <t>Equals A3, pipeline gas to power</t>
  </si>
  <si>
    <t>G8</t>
  </si>
  <si>
    <t>Power: realisation</t>
  </si>
  <si>
    <t>Assumption; ESDM via Kontan 14 Dec 2024: power received 57% of allocation to Q3 2024, industry 80%</t>
  </si>
  <si>
    <t>G9</t>
  </si>
  <si>
    <t>Regulatory minimum realisation</t>
  </si>
  <si>
    <t>Kepmen 76/2025 via Katadata 25 Jun 2026</t>
  </si>
  <si>
    <t>G10</t>
  </si>
  <si>
    <t>LNG volume under the $13 cap, H2 2026</t>
  </si>
  <si>
    <t>cargoes per half-year</t>
  </si>
  <si>
    <t>PGN via Kontan 2 Jul and 21 Oct 2026 (~20 cargoes secured for H2)</t>
  </si>
  <si>
    <t>H. Retail fuel and transfers</t>
  </si>
  <si>
    <t>H1</t>
  </si>
  <si>
    <t>Pertalite (RON 90) retail price, frozen to end-2026</t>
  </si>
  <si>
    <t>Rp/litre</t>
  </si>
  <si>
    <t>ANTARA 11 Sep 2026; Pertamina Patra Niaga</t>
  </si>
  <si>
    <t>H2</t>
  </si>
  <si>
    <t>Pertalite unsubsidised value</t>
  </si>
  <si>
    <t>Pertamina via Okezone 17 Jun 2026 / Kompas TV 18 Sep 2026</t>
  </si>
  <si>
    <t>H3</t>
  </si>
  <si>
    <t>Pertalite quota 2026</t>
  </si>
  <si>
    <t>million kl</t>
  </si>
  <si>
    <t>BPH Migas via INP 28 Jan 2026 (2025: 31.23); Bahlil (23 Oct 2026) says the quota will be raised after buyers switched from Pertamax</t>
  </si>
  <si>
    <t>H4</t>
  </si>
  <si>
    <t>Cash transfer (BLT) per family per month, 2026 programme</t>
  </si>
  <si>
    <t>Rp</t>
  </si>
  <si>
    <t>Cabinet Secretary via ANTARA: Rp300,000/month, 35.04m families (deciles 1–4), 3 months, Rp30tr</t>
  </si>
  <si>
    <t>2026</t>
  </si>
  <si>
    <t>H5</t>
  </si>
  <si>
    <t>Families covered (bottom 40%)</t>
  </si>
  <si>
    <t>million</t>
  </si>
  <si>
    <t>same</t>
  </si>
  <si>
    <t>H7</t>
  </si>
  <si>
    <t>ICP at which the Rp18,040 unsubsidised value was quoted</t>
  </si>
  <si>
    <t>Pertamina figures of Jun/Sep 2026 when ICP was ~$105 (Setkab 19 Oct 2026); the gap is scaled to the scenario ICP</t>
  </si>
  <si>
    <t>H6</t>
  </si>
  <si>
    <t>Share of fuel subsidy captured by the richest 20% of households</t>
  </si>
  <si>
    <t>World Bank, Indonesia Economic Prospects, June 2026: 'the richest 20 percent of households receive more than half of subsidy benefits'</t>
  </si>
  <si>
    <t>WB: a 1-month transfer to the poorest 40% costs ~10% of subsidy savings</t>
  </si>
  <si>
    <t>I. Corrected-path levers (used only when Policy = Corrected)</t>
  </si>
  <si>
    <t>I1</t>
  </si>
  <si>
    <t>Keep the regulated tier for fertiliser only (share of fertiliser gas, = A11)</t>
  </si>
  <si>
    <t>Equals A11</t>
  </si>
  <si>
    <t>I2</t>
  </si>
  <si>
    <t>Former HGBT volume for the six industries is priced at</t>
  </si>
  <si>
    <t>Equals D3, non-regulated pipeline price (published cap; or an auction clearing price)</t>
  </si>
  <si>
    <t>I3</t>
  </si>
  <si>
    <t>Pass-through of marginal LNG cost to non-subsidised power customers</t>
  </si>
  <si>
    <t>Assumption: quarterly tariff adjustment already on paper for non-subsidised classes (E8)</t>
  </si>
  <si>
    <t>I4</t>
  </si>
  <si>
    <t>Share of the Pertalite price gap closed in year one</t>
  </si>
  <si>
    <t>Assumption (gradual, pre-announced path per World Bank June 2026)</t>
  </si>
  <si>
    <t>I5</t>
  </si>
  <si>
    <t>Months of cash transfer funded from savings</t>
  </si>
  <si>
    <t>months</t>
  </si>
  <si>
    <t>Assumption: twice the 2026 programme (3 months). World Bank: one month to the poorest 40% costs ~10% of the savings</t>
  </si>
  <si>
    <t>I6</t>
  </si>
  <si>
    <t>LNG cap removed (0 = removed, 1 = kept)</t>
  </si>
  <si>
    <t>flag</t>
  </si>
  <si>
    <t>Corrected path replaces the ad hoc cap with a published import-parity formula</t>
  </si>
  <si>
    <t>J. Kutei hubs: allocation, the Java route and the Singapore cut (added 7 Nov 2026; SKK Migas statements via Kumparan 24 Jul 2026 as reported by ZMK Advisory 18 Oct 2026)</t>
  </si>
  <si>
    <t>J1</t>
  </si>
  <si>
    <t>Eni Kutei hubs: gross plateau, both hubs</t>
  </si>
  <si>
    <t>Eni press release 18 Mar 2026</t>
  </si>
  <si>
    <t>Up to 2 bscfd of gas and 90,000 bpd of condensate from 2029</t>
  </si>
  <si>
    <t>J2</t>
  </si>
  <si>
    <t>of which replaces Jangkrik/Merakes output already in the 2025 base</t>
  </si>
  <si>
    <t>Assumption: Jangkrik FPU handled ~670 MMscfd in Dec 2022 incl. Merakes (Eni); the South Hub (Gendalo/Gandang) is planned to hold Jangkrik's plateau near 750 MMscfd (POD via ZMK Advisory 18 Oct 2026). We take ~600 as the 2025 base-case output</t>
  </si>
  <si>
    <t>Net new gas at plateau is therefore ~1,400 BBTUD, not 2,000</t>
  </si>
  <si>
    <t>J3</t>
  </si>
  <si>
    <t>North Hub gas allocated to the domestic market</t>
  </si>
  <si>
    <t>SKK Migas (Djoko Siswanto) via Kumparan 24 Jul 2026</t>
  </si>
  <si>
    <t>single-source (oral)</t>
  </si>
  <si>
    <t>Remaining 28% to LNG export (B7)</t>
  </si>
  <si>
    <t>J4</t>
  </si>
  <si>
    <t>of domestic: pipeline gas for industry in Kalimantan</t>
  </si>
  <si>
    <t>Share of total hub gas. Feeds the East Kalimantan petrochemical plans, not Java</t>
  </si>
  <si>
    <t>J5</t>
  </si>
  <si>
    <t>of domestic: LNG for PLN and PGN — the only route to Java</t>
  </si>
  <si>
    <t>No pipeline from East Kalimantan to Java; Java receives Bontang LNG through the Jakarta Bay (Nusantara Regas) and Lampung FSRUs. PGN signed heads of agreement for North/South Hub LNG in May 2026, volumes undisclosed</t>
  </si>
  <si>
    <t>J6</t>
  </si>
  <si>
    <t>of domestic: reserve, use not stated</t>
  </si>
  <si>
    <t>Outlets differ on its purpose</t>
  </si>
  <si>
    <t>J7</t>
  </si>
  <si>
    <t>Share of the reserve assumed to reach Java as LNG</t>
  </si>
  <si>
    <t>Assumption: 0 in the base case; set to 1 for the upper bound (20% of hub gas to Java)</t>
  </si>
  <si>
    <t>J8</t>
  </si>
  <si>
    <t>Kutei LNG price: slope to the world oil price</t>
  </si>
  <si>
    <t>SKK Migas via Kumparan 24 Jul 2026: North Hub LNG at 12.5% of the world oil price, above the POD level</t>
  </si>
  <si>
    <t>Applied to the scenario ICP; no constant term</t>
  </si>
  <si>
    <t>J9</t>
  </si>
  <si>
    <t>Kutei LNG delivered to a Java buyer at the scenario ICP</t>
  </si>
  <si>
    <t>J8 × ICP + D9 shipping/regas adder (our calc)</t>
  </si>
  <si>
    <t>≈ $10.5 at $70 oil, $13.0 at $90, $15.5 at $110</t>
  </si>
  <si>
    <t>J10</t>
  </si>
  <si>
    <t>PGN's forecast gas shortfall, concentrated in West Java and Sumatra: 2028</t>
  </si>
  <si>
    <t>MMscfd</t>
  </si>
  <si>
    <t>PGN to DPR Komisi XII 28 Apr 2025 via Detik Finance 2 May 2025: 177 (2025), 390 (2028), 534 (2034)</t>
  </si>
  <si>
    <t>Apr 2025</t>
  </si>
  <si>
    <t>Value shown = 2028. Balance row 33 interpolates the other years (our calc)</t>
  </si>
  <si>
    <t>J11</t>
  </si>
  <si>
    <t>Singapore pipeline export cut, from 24 Oct 2026</t>
  </si>
  <si>
    <t>SKK Migas via S&amp;P Global 26 Oct 2026; 15 BBTUD Natuna + 16 BBTUD Sumatra (SKK Migas, 23 Oct). Singapore's EMA counts 17 BBTUD over 18 days (METI doorstop 25 Oct 2026)</t>
  </si>
  <si>
    <t>verified (two bases)</t>
  </si>
  <si>
    <t>Bahlil 26 Oct: within the contracts' ~10% tolerance, no breach; importer GSPL assessing (Jakarta Globe; METI)</t>
  </si>
  <si>
    <t>J12</t>
  </si>
  <si>
    <t>Share of the Singapore cut that persists from 2027</t>
  </si>
  <si>
    <t>Assumption: we test the full 31 BBTUD persisting; EMA's reading (17 over 18 days) implies ~0</t>
  </si>
  <si>
    <t>2026 counts 69 days of the cut</t>
  </si>
  <si>
    <t>J13</t>
  </si>
  <si>
    <t>Geliga/Gula third hub (no FID): include? 0 = no, 1 = yes</t>
  </si>
  <si>
    <t>Eni 20 Apr 2026: Geliga + Gula could add ~1 bscfd on the North Hub concept; no FID, no date</t>
  </si>
  <si>
    <t>Excluded from the base case</t>
  </si>
  <si>
    <t>J14</t>
  </si>
  <si>
    <t>Geliga/Gula volume if included, 2030</t>
  </si>
  <si>
    <t>Eni 20 Apr 2026 ('up to' figure)</t>
  </si>
  <si>
    <t>Source row: every value above carries its source, date and reliability flag. Blue = sourced input, orange = assumption to challenge, black = formula.</t>
  </si>
  <si>
    <t>Model output, not a forecast.</t>
  </si>
  <si>
    <t>Marginal Barrel — Country gas–power balance model</t>
  </si>
  <si>
    <t>Country 1: Indonesia  ·  file indonesia-gas-balance-v1  ·  version 1.0  ·  7 November 2026 (revised before first publication)</t>
  </si>
  <si>
    <t>What this is</t>
  </si>
  <si>
    <t>A one-page balance of Indonesia's gas (who uses it, who exports it), a price stack (what each buyer pays), and a fiscal block (what the state pays, on and off budget) under current policy and a corrected policy, across 24 scenarios of LNG price and oil price.</t>
  </si>
  <si>
    <t>Model output, not a forecast</t>
  </si>
  <si>
    <t>Every number is a model output from the inputs on the Inputs sheet. It is not a forecast of prices, volumes or budgets. Public data only; our own arithmetic is labelled 'our calc'.</t>
  </si>
  <si>
    <t>How to use it</t>
  </si>
  <si>
    <t>Change the blue cells on Inputs and the selectors on Scenarios. Everything else recalculates. Outputs shows the full scenario grid and the chart feeds used in the post.</t>
  </si>
  <si>
    <t>Colour key</t>
  </si>
  <si>
    <t>Blue text = hard-coded input with a source.  Orange text = assumption pending a better source (change these first).  Black = formula.  Green = link to another sheet.  Yellow fill = scenario selector.</t>
  </si>
  <si>
    <t>Units</t>
  </si>
  <si>
    <t>Gas volumes in BBTUD (billion Btu per day; 1 BBTUD ≈ 1 MMscfd ≈ 0.37 TBtu a year). Prices in US$/MMBtu. Money in US$ bn and Rp trillion (Rp tr). Power in TWh and US cents/kWh.</t>
  </si>
  <si>
    <t>Sheets</t>
  </si>
  <si>
    <t>Inputs · Scenarios · Balance (2025–2030 gas balance) · Stack (price ladder and the ration) · Fiscal (cost to the state, lines F1–F6) · Outputs (24-case grid, chart feeds) · Checks · Sources</t>
  </si>
  <si>
    <t>Reuse</t>
  </si>
  <si>
    <t>To build another country, change only Inputs and the tier labels. A country without a regulated tier sets its volume to zero; a pure importer sets LNG production to zero.</t>
  </si>
  <si>
    <t>Licence</t>
  </si>
  <si>
    <t>Free with the first release of this model (Marginal Barrel library, marginalbarrel.com/library). Later versions go to the paid tier. Do not resell.</t>
  </si>
  <si>
    <t>Revision note</t>
  </si>
  <si>
    <t>7 Nov 2026, pre-publication: Eni Kutei volumes are now net of the Jangkrik output the South Hub replaces (~1,400 BBTUD net new at plateau, not 2,000); the export share follows SKK Migas's 72/28 allocation; a Java-route block shows that only the 12% liquefied for PLN and PGN can reach Java (no Kalimantan–Java pipeline) and compares it with PGN's own West Java/Sumatra shortfall forecast; Kutei LNG is priced at 12.5% of oil; the Singapore pipeline cut of 24 Oct 2026 is netted from exports; a Geliga/Gula toggle is added. Inputs J1–J14, Balance rows 28–37, Stack rows 33–38, Checks C7–C8.</t>
  </si>
  <si>
    <t>Scenario selectors (yellow cells). Type the exact label.</t>
  </si>
  <si>
    <t>Policy</t>
  </si>
  <si>
    <t>Current</t>
  </si>
  <si>
    <t>Current  or  Corrected</t>
  </si>
  <si>
    <t>LNG price case</t>
  </si>
  <si>
    <t>$15</t>
  </si>
  <si>
    <t>$10, $15, $25 or Actual (= JKM Dec-26 settlement, D7)</t>
  </si>
  <si>
    <t>ICP (oil) case</t>
  </si>
  <si>
    <t>$90</t>
  </si>
  <si>
    <t>$70 (budget law), $90, $110</t>
  </si>
  <si>
    <t>Rupiah per US$</t>
  </si>
  <si>
    <t>Linked to Inputs F3 (2026 year-to-date average). Change on Inputs.</t>
  </si>
  <si>
    <t>Resolved values used by the model</t>
  </si>
  <si>
    <t>Policy flag (1 = Corrected)</t>
  </si>
  <si>
    <t>LNG price, delivered to Asia ($/MMBtu)</t>
  </si>
  <si>
    <t>LNG delivered to a Java buyer incl. shipping + regas ($/MMBtu)</t>
  </si>
  <si>
    <t>ICP ($/bbl)</t>
  </si>
  <si>
    <t>Note: LNG and oil are set independently so you can see which one drives each cost line. In 2026 the two moved together (Hormuz).</t>
  </si>
  <si>
    <t>Gas balance 2025–2030 (BBTUD). Domestic demand grows; existing fields decline; Eni's Kutei hubs arrive from 2028, but only the LNG tranche can reach Java.</t>
  </si>
  <si>
    <t>2027</t>
  </si>
  <si>
    <t>2028</t>
  </si>
  <si>
    <t>2029</t>
  </si>
  <si>
    <t>2030</t>
  </si>
  <si>
    <t>Basis</t>
  </si>
  <si>
    <t>Domestic demand</t>
  </si>
  <si>
    <t>Industry (pipeline + regasified LNG)</t>
  </si>
  <si>
    <t>A1 plus the regas LNG not burned in power (A5 − (E5 − A3)), our calc; grows at A10</t>
  </si>
  <si>
    <t>Grows at A10</t>
  </si>
  <si>
    <t>Power (pipeline + regasified LNG)</t>
  </si>
  <si>
    <t>PLN total gas burn (E5) grows at A10</t>
  </si>
  <si>
    <t>Refinery, LPG, city gas</t>
  </si>
  <si>
    <t>Upstream own use</t>
  </si>
  <si>
    <t>Flat</t>
  </si>
  <si>
    <t>Total domestic demand</t>
  </si>
  <si>
    <t>Supply</t>
  </si>
  <si>
    <t>Existing fields (declining)</t>
  </si>
  <si>
    <t>B1 × (1 + B2)^t</t>
  </si>
  <si>
    <t>Eni Kutei hubs, net new to the 2025 base</t>
  </si>
  <si>
    <t>B4–B6: 2 bscfd gross less the Jangkrik output the South Hub replaces (J1–J2); Geliga/Gula only if J13 = 1</t>
  </si>
  <si>
    <t>Total supply</t>
  </si>
  <si>
    <t>Exports</t>
  </si>
  <si>
    <t>Export commitments (pipeline + LNG)</t>
  </si>
  <si>
    <t>2025 actual; then B8 rolling off at B9, less the Singapore pipeline cut (J11: 69 days in 2026, J12 share after)</t>
  </si>
  <si>
    <t>Plus export share of new Eni gas (28%, SKK Migas)</t>
  </si>
  <si>
    <t>Eni volume × B7</t>
  </si>
  <si>
    <t>Total exports</t>
  </si>
  <si>
    <t>Result</t>
  </si>
  <si>
    <t>Supply left for the home market (supply − exports)</t>
  </si>
  <si>
    <t>Shortfall against domestic demand (positive = rationed or imported)</t>
  </si>
  <si>
    <t>Under current policy this is the ration; under the corrected path it is bought as LNG at the scenario price</t>
  </si>
  <si>
    <t>Shortfall in LNG cargoes a year (at C1)</t>
  </si>
  <si>
    <t>Export share of supply</t>
  </si>
  <si>
    <t>Reading: 2025 is the Handbook balance (no gap by construction). The 2026–27 gap is what West Java industry feels as the ration. The national gap narrows from 2029 as the hubs ramp, but most of that gas stays in Kalimantan or goes to export: see the Java route below. Model output, not a forecast.</t>
  </si>
  <si>
    <t>The Java route: where the new Kutei gas goes (SKK Migas allocation, J3–J7)</t>
  </si>
  <si>
    <t>New Eni gas: pipeline gas for Kalimantan industry (52% of domestic)</t>
  </si>
  <si>
    <t>New Eni gas: liquefied for PLN and PGN — the only part that reaches Java (12%, plus any reserve per J7)</t>
  </si>
  <si>
    <t>J5 (+ J6 × J7)</t>
  </si>
  <si>
    <t>New Eni gas: reserve, use not stated (8%)</t>
  </si>
  <si>
    <t>New Eni gas: LNG export (28%)</t>
  </si>
  <si>
    <t>Row 18</t>
  </si>
  <si>
    <t>PGN's forecast shortfall, West Java and Sumatra (MMscfd; 2025 and 2028 as stated, other years interpolated)</t>
  </si>
  <si>
    <t>PGN to DPR Apr 2025 (J10); straight-line between the stated years (our calc)</t>
  </si>
  <si>
    <t>Java-bound Kutei LNG as a share of that shortfall</t>
  </si>
  <si>
    <t>Row 30 ÷ row 33</t>
  </si>
  <si>
    <t>Shortfall outside Kalimantan: national shortfall (row 22) plus the new pipeline gas usable only in Kalimantan (row 29)</t>
  </si>
  <si>
    <t>our calc; the gas East Kalimantan's petrochemical plans would absorb cannot reach Java</t>
  </si>
  <si>
    <t>Indicative Java gap after Kutei LNG: PGN's West Java/Sumatra forecast (row 33) less the Java-bound tranche (row 30)</t>
  </si>
  <si>
    <t>our calc; two routes to the same answer: the ration persists through 2030</t>
  </si>
  <si>
    <t>Reading: no pipeline runs from East Kalimantan to Java. Of the new hub gas, 52% stays in Kalimantan as pipeline gas and 28% is exported; only the 12% liquefied for PLN and PGN reaches Java, by FSRU, at about the cost of LNG. Against PGN's own shortfall forecast for West Java and Sumatra, that covers under half even at plateau. Outside Kalimantan the shortfall runs at ~270–470 BBTUD through 2030, close to PGN's own forecast. Supply does not remove the ration; it changes the price of the marginal molecule. Model output, not a forecast.</t>
  </si>
  <si>
    <t>Price stack, 2026: who gets gas at which price (BBTUD and US$/MMBtu). Scenario-driven.</t>
  </si>
  <si>
    <t>Tier</t>
  </si>
  <si>
    <t>Volume (BBTUD)</t>
  </si>
  <si>
    <t>Price ($/MMBtu)</t>
  </si>
  <si>
    <t>Price basis</t>
  </si>
  <si>
    <t>Who</t>
  </si>
  <si>
    <t>Spend ($ bn/yr)</t>
  </si>
  <si>
    <t>Ration arithmetic (current policy)</t>
  </si>
  <si>
    <t>Fertiliser: delivered at regulated price</t>
  </si>
  <si>
    <t>Six industries: delivered at regulated price</t>
  </si>
  <si>
    <t>Six industries: shortfall bought outside the scheme</t>
  </si>
  <si>
    <t>Power: delivered at regulated price</t>
  </si>
  <si>
    <t>Power: contracted domestic LNG (bp long-term)</t>
  </si>
  <si>
    <t>Power: marginal LNG (re-routed export cargoes, spot)</t>
  </si>
  <si>
    <t>Six industries: share of eligible demand actually delivered at $6.50–7</t>
  </si>
  <si>
    <t>Compare FIPGB's claim of 27.5% (June 2026) and Kemenperin's 46.4% realisation of a 57% allocation = 26% of the 2023 promise (our calc)</t>
  </si>
  <si>
    <t>Stack (current policy)</t>
  </si>
  <si>
    <t>1. Regulated (HGBT) — fertiliser</t>
  </si>
  <si>
    <t>Decree</t>
  </si>
  <si>
    <t>Pupuk Indonesia plants</t>
  </si>
  <si>
    <t>2. Regulated (HGBT) — six industries</t>
  </si>
  <si>
    <t>253 named users, 7 sectors</t>
  </si>
  <si>
    <t>3. Regulated — power plant gate</t>
  </si>
  <si>
    <t>PLN</t>
  </si>
  <si>
    <t>4. Non-regulated pipeline gas</t>
  </si>
  <si>
    <t>Administered/contract</t>
  </si>
  <si>
    <t>Other industry, West Java ~$9.6</t>
  </si>
  <si>
    <t>5. Contracted domestic LNG to power</t>
  </si>
  <si>
    <t>Long-term contract</t>
  </si>
  <si>
    <t>PLN (bp Tangguh)</t>
  </si>
  <si>
    <t>6a. LNG to industry — capped (H2 2026 only)</t>
  </si>
  <si>
    <t>Announced cap</t>
  </si>
  <si>
    <t>Non-HGBT industry W Java/Banten/Jakarta</t>
  </si>
  <si>
    <t>6b. LNG to industry — at cost (the marginal molecule)</t>
  </si>
  <si>
    <t>Import parity (scenario LNG + adder)</t>
  </si>
  <si>
    <t>Everyone outside the ration</t>
  </si>
  <si>
    <t>7. Marginal LNG to power</t>
  </si>
  <si>
    <t>Import parity</t>
  </si>
  <si>
    <t>PLN spot/re-routed cargoes</t>
  </si>
  <si>
    <t>Volume-weighted price, all tiers</t>
  </si>
  <si>
    <t>Marginal price (highest tier with volume)</t>
  </si>
  <si>
    <t>Six industries: blended price actually paid — current policy</t>
  </si>
  <si>
    <t>Delivered HGBT at $7; capped LNG at $13 (H2 2026); the rest at import parity</t>
  </si>
  <si>
    <t>Six industries: blended price — corrected path</t>
  </si>
  <si>
    <t>Same molecules: former HGBT volume at the published pipeline price, the shortfall at import parity, no ad hoc cap. Higher in 2026, lower risk, and the state books the difference</t>
  </si>
  <si>
    <t>Six industries: 2026 blended price if the 2023 allocation were honoured (89% delivered)</t>
  </si>
  <si>
    <t>Reading: the promise is a price; what is delivered is a ration. The number that matters to a factory is C27, not $6.50. Model output, not a forecast.</t>
  </si>
  <si>
    <t>After 2028: the next molecule once Kutei LNG reaches Java (illustrative: 2026 ration volumes, post-2028 marginal price)</t>
  </si>
  <si>
    <t>Kutei LNG delivered to Java at the scenario ICP ($/MMBtu; J9)</t>
  </si>
  <si>
    <t>Six industries: blended price if the shortfall were met with Kutei LNG instead of import parity — current policy, no cap</t>
  </si>
  <si>
    <t>Six industries: blended price — corrected path with Kutei LNG as the marginal molecule</t>
  </si>
  <si>
    <t>Gap between the marginal molecule and the $6.50 promise, post-2028 ($/MMBtu)</t>
  </si>
  <si>
    <t>Reading: Kutei gas does not fill West Java's pipelines; it arrives as LNG. The volume ration eases, the marginal price falls from import parity to an oil-linked ~$11–13 delivered, and the gap over $6.50 stays. Model output, not a forecast.</t>
  </si>
  <si>
    <t>Cost to the state, 2026 basis, for the selected scenario. Current policy vs corrected path.</t>
  </si>
  <si>
    <t>Line</t>
  </si>
  <si>
    <t>Current (US$ bn)</t>
  </si>
  <si>
    <t>Corrected (US$ bn)</t>
  </si>
  <si>
    <t>Where it sits</t>
  </si>
  <si>
    <t>How it is calculated</t>
  </si>
  <si>
    <t>F1  Forgone upstream revenue on regulated gas (off budget)</t>
  </si>
  <si>
    <t>Off budget: state's share of production, never booked</t>
  </si>
  <si>
    <t>Delivered regulated volume × (reference upstream price − regulated upstream price). Contractors are kept whole (Perpres 121/2020; PGN Q3-2026 filing note 36a), so the state's share absorbs it. Corrected: the fertiliser tranche moves on budget (F5); the six industries pay the pipeline price</t>
  </si>
  <si>
    <t>F2  The $13 LNG cap (H2 2026)</t>
  </si>
  <si>
    <t>Payer not stated: state, PGN or Pertamina</t>
  </si>
  <si>
    <t>20 cargoes × 3.3 TBtu × (delivered LNG cost − $13). PGN cites 'supply-chain efficiency'. Removed under the corrected path (I6)</t>
  </si>
  <si>
    <t>F3  Marginal LNG into power above the budget assumption</t>
  </si>
  <si>
    <t>On budget via PLN compensation (tariffs frozen)</t>
  </si>
  <si>
    <t>Spot/re-routed cargoes × (delivered cost − budget LNG price). Corrected: passed through to non-subsidised customers (E8 × I3); the state carries only the subsidised share</t>
  </si>
  <si>
    <t>F4  Oil-linked fuel, LPG and power subsidy + compensation</t>
  </si>
  <si>
    <t>On budget: the headline energy bill</t>
  </si>
  <si>
    <t>Budget (Rp338tr at ICP $70) + Rp5tr per $1 of ICP + FX term. Corrected: Pertalite gap closed by I4 (quota × Rp8,040/l × I4). Not a refinery model</t>
  </si>
  <si>
    <t>F5  Explicit fertiliser-gas subsidy (corrected path only)</t>
  </si>
  <si>
    <t>On budget, in the Nota Keuangan</t>
  </si>
  <si>
    <t>Subsidised-fertiliser gas × the same price cut, booked openly. Cross-check: Rp2.6tr per $1/MMBtu (F15)</t>
  </si>
  <si>
    <t>F6  Cash transfers to the bottom 40% (corrected path only)</t>
  </si>
  <si>
    <t>On budget</t>
  </si>
  <si>
    <t>Rp300,000 × 35m families × months (I5). 2026 programme: Rp30tr for three months</t>
  </si>
  <si>
    <t>Total cost to the state (US$ bn)</t>
  </si>
  <si>
    <t xml:space="preserve">   of which on budget (F2 excluded: payer unknown)</t>
  </si>
  <si>
    <t xml:space="preserve">   of which off budget (F1) and unassigned (F2)</t>
  </si>
  <si>
    <t>Total cost to the state (Rp tr)</t>
  </si>
  <si>
    <t>Saving from the corrected path (US$ bn)</t>
  </si>
  <si>
    <t>Saving from the corrected path (Rp tr)</t>
  </si>
  <si>
    <t>Saving as % of the deficit headroom to the 3% cap (Rp tr headroom)</t>
  </si>
  <si>
    <t>Six industries: blended gas price paid ($/MMBtu)</t>
  </si>
  <si>
    <t>Six industries: extra gas bill vs current policy (US$ bn)</t>
  </si>
  <si>
    <t>Structural vs shock (current policy, selected scenario)</t>
  </si>
  <si>
    <t>Structural (true before 28 Feb 2026): F1 + F4 at budget ICP</t>
  </si>
  <si>
    <t>Shock (2026 only): F2 + F3 + the ICP/FX overrun in F4</t>
  </si>
  <si>
    <t>Memo: Kemenkeu's own full-year projection, all subsidy + compensation (Rp tr)</t>
  </si>
  <si>
    <t>Reading: the corrected path does not make 2026 cheap. It moves ~$1bn a year from an unbooked line to a booked one, stops paying for an ad hoc cap, and swaps a price freeze for a cheque. Model output, not a forecast.</t>
  </si>
  <si>
    <t>Scenario grid: 2 policies × 4 LNG prices × 3 oil prices = 24 cases (2026 basis, US$ bn unless stated). Same formulas as Fiscal, evaluated per row.</t>
  </si>
  <si>
    <t>LNG $</t>
  </si>
  <si>
    <t>ICP $</t>
  </si>
  <si>
    <t>F1 forgone</t>
  </si>
  <si>
    <t>F2 cap</t>
  </si>
  <si>
    <t>F3 power LNG</t>
  </si>
  <si>
    <t>F4 oil-linked</t>
  </si>
  <si>
    <t>F5 fert. on-budget</t>
  </si>
  <si>
    <t>F6 transfers</t>
  </si>
  <si>
    <t>Total $bn</t>
  </si>
  <si>
    <t>Total Rp tr</t>
  </si>
  <si>
    <t>Industry $/MMBtu</t>
  </si>
  <si>
    <t>vs Current $bn</t>
  </si>
  <si>
    <t>Corrected</t>
  </si>
  <si>
    <t>Policy = Current keeps the ration (Stack C7–C12), the $13 cap and the frozen Pertalite price. Corrected = fertiliser-only regulated tier booked on budget (F5), six industries at the pipeline price, no cap, LNG pass-through to non-subsidised power customers, half the Pertalite gap closed with a 6-month cash transfer (F6). Model output, not a forecast.</t>
  </si>
  <si>
    <t>Chart feeds (as used in the post)</t>
  </si>
  <si>
    <t>C1 Price stack ($/MMBtu)</t>
  </si>
  <si>
    <t>HGBT feedstock</t>
  </si>
  <si>
    <t>HGBT fuel / power</t>
  </si>
  <si>
    <t>Non-HGBT pipeline, W Java</t>
  </si>
  <si>
    <t>LNG cap (announced, Jul–Dec 2026)</t>
  </si>
  <si>
    <t>PGN regas LNG, Jan–May 2026</t>
  </si>
  <si>
    <t>PGN regas LNG, Jun 2026 (projected)</t>
  </si>
  <si>
    <t>JKM Dec-26 (CME, 5 Nov)</t>
  </si>
  <si>
    <t>Henry Hub Dec-26 (CME)</t>
  </si>
  <si>
    <t>C2 West Java HGBT realisation (% of allocation; Kemenperin)</t>
  </si>
  <si>
    <t>2023</t>
  </si>
  <si>
    <t>2024</t>
  </si>
  <si>
    <t>Jan–Apr 2026</t>
  </si>
  <si>
    <t>Low month 2026</t>
  </si>
  <si>
    <t>C3 Pipeline gas to industry vs regasified LNG (TBtu; ESDM Handbook 2025)</t>
  </si>
  <si>
    <t>Industry (pipeline)</t>
  </si>
  <si>
    <t>LNG domestic (regas)</t>
  </si>
  <si>
    <t>Power (pipeline)</t>
  </si>
  <si>
    <t>2021</t>
  </si>
  <si>
    <t>2022</t>
  </si>
  <si>
    <t>C4 Subsidy + compensation paid, Jan–Sep each year (Rp tr; APBN KiTa Oct 2026)</t>
  </si>
  <si>
    <t>Subsidy</t>
  </si>
  <si>
    <t>Compensation</t>
  </si>
  <si>
    <t>Total</t>
  </si>
  <si>
    <t>Full-year 2026 budget (energy) / projection</t>
  </si>
  <si>
    <t>C4 panel: ICP by month 2026 ($/bbl; ESDM decrees; Mar implied; Oct provisional)</t>
  </si>
  <si>
    <t>Jan</t>
  </si>
  <si>
    <t>Feb</t>
  </si>
  <si>
    <t>Mar (implied)</t>
  </si>
  <si>
    <t>Apr</t>
  </si>
  <si>
    <t>May</t>
  </si>
  <si>
    <t>Jun</t>
  </si>
  <si>
    <t>Jul</t>
  </si>
  <si>
    <t>Aug</t>
  </si>
  <si>
    <t>Sep</t>
  </si>
  <si>
    <t>Oct (provisional)</t>
  </si>
  <si>
    <t>C2 Gas balance chart feed (BBTUD; Balance sheet)</t>
  </si>
  <si>
    <t>Left for home market</t>
  </si>
  <si>
    <t>Shortfall</t>
  </si>
  <si>
    <t>Java-bound Kutei LNG</t>
  </si>
  <si>
    <t>PGN W Java/Sumatra gap</t>
  </si>
  <si>
    <t>Shortfall ex-Kalimantan</t>
  </si>
  <si>
    <t>Java gap after Kutei LNG</t>
  </si>
  <si>
    <t>Calibration and sanity checks</t>
  </si>
  <si>
    <t>Check</t>
  </si>
  <si>
    <t>Model</t>
  </si>
  <si>
    <t>Reference</t>
  </si>
  <si>
    <t>Comment</t>
  </si>
  <si>
    <t>C1  F1 at 2023 volumes (fert 692 × 90% + six 400 × 80% + power 683 × 57%) × cut, Rp tr at Rp15,240/$</t>
  </si>
  <si>
    <t>Kemenkeu 2023 forgone revenue Rp15.67tr. Volumes: ESDM 2023 (fert 692, power 683), realisation per Kontan 14 Dec 2024</t>
  </si>
  <si>
    <t>C2  Heat rate (MMBtu/MWh) × ($19.5 + adder) → US¢/kWh</t>
  </si>
  <si>
    <t>PLN told the DPR ~14¢/kWh at LNG $19–20: consistent with LNG-fired output only</t>
  </si>
  <si>
    <t>C3  Subsidised-fertiliser gas, BBTUD: A2 × A11 vs Rp2.6tr per $1 ÷ Rp16,500 ÷ 365</t>
  </si>
  <si>
    <t>Two independent routes to ~430 BBTUD</t>
  </si>
  <si>
    <t>C4  Balance 2025 sums to the Handbook total (BBTUD)</t>
  </si>
  <si>
    <t>Supply = domestic demand + exports in the base year</t>
  </si>
  <si>
    <t>C5  2026 energy subsidy + compensation at ICP 91.9, FX 17,449 (Rp tr) vs run-rate of the realisation</t>
  </si>
  <si>
    <t>Right-hand side strips fertiliser (Rp36tr) and other non-energy subsidies (~Rp35tr, our estimate) from the all-in run-rate</t>
  </si>
  <si>
    <t>C6  Domestic LNG demand 2026 in cargoes: Balance regas need vs PLN 103 + PGN 19</t>
  </si>
  <si>
    <t>Order-of-magnitude only; cargo size is a convention</t>
  </si>
  <si>
    <t>C7  Kutei hubs net new at plateau (Balance 2029) vs gross plateau (J1)</t>
  </si>
  <si>
    <t>Net new must be below gross; the difference is the Jangkrik output the South Hub replaces (J2)</t>
  </si>
  <si>
    <t>C8  Shortfall outside Kalimantan, 2028 (Balance row 35) vs PGN's 2028 West Java/Sumatra forecast (J10)</t>
  </si>
  <si>
    <t>Two independent routes: our balance and PGN's April 2025 forecast land in the same range, so the ration persists after the hubs</t>
  </si>
  <si>
    <t>Source log (public documents only)</t>
  </si>
  <si>
    <t>Short name</t>
  </si>
  <si>
    <t>Document</t>
  </si>
  <si>
    <t>ESDM Handbook 2025</t>
  </si>
  <si>
    <t>Ministry of Energy and Mineral Resources, Handbook of Energy &amp; Economic Statistics of Indonesia 2025 (tables 6.3.3 gas utilisation; oil balance)</t>
  </si>
  <si>
    <t>primary</t>
  </si>
  <si>
    <t>PLN Statistik 2025</t>
  </si>
  <si>
    <t>PT PLN (Persero), Statistik PLN 2025 (tables 26, 58, 59, 63)</t>
  </si>
  <si>
    <t>PGN Q3-2026</t>
  </si>
  <si>
    <t>PT Perusahaan Gas Negara Tbk, interim consolidated financial statements, 30 Sep 2026 (notes 2f, 33, 36a)</t>
  </si>
  <si>
    <t>Pupuk Indonesia AR 2025</t>
  </si>
  <si>
    <t>PT Pupuk Indonesia (Persero), Annual Report 2025 (production, gas ratios, subsidised sales)</t>
  </si>
  <si>
    <t>APBN KiTa Oct 2026</t>
  </si>
  <si>
    <t>Kementerian Keuangan, APBN KiTa press-conference deck, October 2026 (realisation to 30 Sep 2026)</t>
  </si>
  <si>
    <t>Kepmen 76.K/2025, 77.K/2025</t>
  </si>
  <si>
    <t>Kepmen ESDM 76.K/MG.01/MEM.M/2025 (industry) and 77.K/HK.02/MEM.M/2025 (power), 26 Feb 2025, from jdih.esdm.go.id</t>
  </si>
  <si>
    <t>Kemenkeu RAPBN 2027</t>
  </si>
  <si>
    <t>Kemenkeu press releases SP-129 and SP-143 (Aug 2026); Nota Keuangan sensitivities via Kompas.com 24 Aug 2026</t>
  </si>
  <si>
    <t>primary / secondary</t>
  </si>
  <si>
    <t>World Bank IEP Jun 2026</t>
  </si>
  <si>
    <t>World Bank, Indonesia Economic Prospects, June 2026</t>
  </si>
  <si>
    <t>IEA GGSR 2026</t>
  </si>
  <si>
    <t>IEA, Global Gas Security Review 2026</t>
  </si>
  <si>
    <t>Eni FID</t>
  </si>
  <si>
    <t>Eni press release, 18 Mar 2026: FIDs for Gendalo-Gandang and Geng North-Gehem</t>
  </si>
  <si>
    <t>CME settlements</t>
  </si>
  <si>
    <t>CME Group, JKM (Platts) and Henry Hub futures settlements, trade date 5 Nov 2026 (public pages)</t>
  </si>
  <si>
    <t>Nov 2026</t>
  </si>
  <si>
    <t>S&amp;P Global (Platts) news</t>
  </si>
  <si>
    <t>S&amp;P Global Commodity Insights news: PLN 103 cargoes (1 Dec 2025); Tangguh 89 cargoes (3 Jun 2026); Singapore gas cut (26 Oct 2026)</t>
  </si>
  <si>
    <t>2025–26</t>
  </si>
  <si>
    <t>secondary (news, not price data)</t>
  </si>
  <si>
    <t>ANTARA</t>
  </si>
  <si>
    <t>ANTARA News: LNG price cut (29 Jun 2026); subsidised fuel prices (11 Sep 2026); subsidy realisation (9 Oct 2026); BLT (2026)</t>
  </si>
  <si>
    <t>secondary</t>
  </si>
  <si>
    <t>Kemenperin via Investortrust / The Star</t>
  </si>
  <si>
    <t>West Java HGBT realisation series 2023–Apr 2026; allocation 57% of 2023; regas prices</t>
  </si>
  <si>
    <t>Jun 2026; 28 Oct 2026</t>
  </si>
  <si>
    <t>Petromindo</t>
  </si>
  <si>
    <t>Govt reviews HGBT scheme after industry complaints (25 Jun 2026): FIPGB 27.5% AGIT claim, PGN $20 above AGIT</t>
  </si>
  <si>
    <t>secondary (interested party quoted)</t>
  </si>
  <si>
    <t>Warta Ekonomi</t>
  </si>
  <si>
    <t>New HGBT decree issued (Kepmen 281.K/2026, 10 Jul 2026, replacing 250.K/2026): E Java 100%, W Java ~88% of the smaller allocation</t>
  </si>
  <si>
    <t>ESDM / Ditjen Migas</t>
  </si>
  <si>
    <t>Government evaluates HGBT recipients, press release 167.Pers/04/SJI/2024 (4 Apr 2024); Dirjen Migas report to Komisi VII</t>
  </si>
  <si>
    <t>Apr 2024</t>
  </si>
  <si>
    <t>Kontan / Katadata / CNBC Indonesia / Bisnis</t>
  </si>
  <si>
    <t>Forgone revenue (Kemenkeu, 25 Mar 2024); realisation to Q3 2024 (14 Dec 2024); cost recovery 2027 (8 Sep 2026); three gas prices (6 Jul 2026)</t>
  </si>
  <si>
    <t>2024–26</t>
  </si>
  <si>
    <t>Lloyd's List / hormuz.now / IEA</t>
  </si>
  <si>
    <t>Strait of Hormuz transit briefs (22 Oct 2026; 6 Nov 2026)</t>
  </si>
  <si>
    <t>Oct–Nov 2026</t>
  </si>
  <si>
    <t>SKK Migas allocation (via ZMK)</t>
  </si>
  <si>
    <t>Kumparan, 24 Jul 2026, reporting SKK Migas head Djoko Siswanto: North Hub gas 72% domestic / 28% export; domestic split 52% pipeline (Kalimantan), 12% LNG for PLN and PGN, 8% reserve; LNG at 12.5% of the oil price. Read via ZMK Advisory, 'Kutei North: the 33-month bet', 18 Oct 2026</t>
  </si>
  <si>
    <t>secondary (oral statements as reported)</t>
  </si>
  <si>
    <t>Badak LNG Train F</t>
  </si>
  <si>
    <t>IDX Channel, 16 Oct 2025: Train F idle since 2020, readiness Oct 2028, ~US$139m, plant life to 2034</t>
  </si>
  <si>
    <t>Oct 2025</t>
  </si>
  <si>
    <t>PGN shortfall forecast</t>
  </si>
  <si>
    <t>Detik Finance, 2 May 2025: PGN to DPR Komisi XII, shortfalls of 177 (2025), 390 (2028), 534 (2034) MMscfd, concentrated in West Java and Sumatra</t>
  </si>
  <si>
    <t>May 2025</t>
  </si>
  <si>
    <t>Singapore pipeline cut</t>
  </si>
  <si>
    <t>S&amp;P Global 26 Oct 2026 (SKK Migas: 31 MMscfd from 24 Oct); METI Singapore, Minister Tan See Leng doorstop 25 Oct 2026 (17 BBTUD over 18 days; GSPL to assess breach); Jakarta Globe 26 Oct 2026 (Bahlil: within the contract cap)</t>
  </si>
  <si>
    <t>primary (METI) / secondary</t>
  </si>
  <si>
    <t>No licensed price data (Platts, Argus, Kpler, WoodMac) is reproduced. JKM and Henry Hub are CME public settlements. Model output, not a forecast.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</si>
</sst>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9" x14ac:knownFonts="1">
    <font>
      <sz val="11"/>
      <color theme="1"/>
      <name val="Calibri"/>
      <family val="2"/>
      <charset val="1"/>
    </font>
    <font>
      <b/>
      <sz val="14"/>
      <color rgb="FF121826"/>
      <name val="Arial"/>
      <charset val="1"/>
    </font>
    <font>
      <b/>
      <sz val="11"/>
      <color rgb="FF121826"/>
      <name val="Arial"/>
      <charset val="1"/>
    </font>
    <font>
      <b/>
      <sz val="10"/>
      <name val="Arial"/>
      <charset val="1"/>
    </font>
    <font>
      <sz val="10"/>
      <color rgb="FF000000"/>
      <name val="Arial"/>
      <charset val="1"/>
    </font>
    <font>
      <sz val="10"/>
      <color rgb="FF0000FF"/>
      <name val="Arial"/>
      <charset val="1"/>
    </font>
    <font>
      <sz val="9"/>
      <color rgb="FF555555"/>
      <name val="Arial"/>
      <charset val="1"/>
    </font>
    <font>
      <sz val="10"/>
      <color rgb="FFC55A11"/>
      <name val="Arial"/>
      <charset val="1"/>
    </font>
    <font>
      <sz val="10"/>
      <color rgb="FF008000"/>
      <name val="Arial"/>
      <charset val="1"/>
    </font>
  </fonts>
  <fills count="4">
    <fill>
      <patternFill patternType="none"/>
    </fill>
    <fill>
      <patternFill patternType="gray125"/>
    </fill>
    <fill>
      <patternFill patternType="solid">
        <fgColor rgb="FFE5E8EF"/>
        <bgColor rgb="FFCCFFFF"/>
      </patternFill>
    </fill>
    <fill>
      <patternFill patternType="solid">
        <fgColor rgb="FFFFFF00"/>
        <bgColor rgb="FFFFFF00"/>
      </patternFill>
    </fill>
  </fills>
  <borders count="2">
    <border>
      <left/>
      <right/>
      <top/>
      <bottom/>
      <diagonal/>
    </border>
    <border>
      <left style="thin">
        <color rgb="FFBBBBBB"/>
      </left>
      <right style="thin">
        <color rgb="FFBBBBBB"/>
      </right>
      <top style="thin">
        <color rgb="FFBBBBBB"/>
      </top>
      <bottom style="thin">
        <color rgb="FFBBBBBB"/>
      </bottom>
      <diagonal/>
    </border>
  </borders>
  <cellStyleXfs count="1">
    <xf numFmtId="0" fontId="0" fillId="0" borderId="0"/>
  </cellStyleXfs>
  <cellXfs count="39">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top" wrapText="1"/>
    </xf>
    <xf numFmtId="0" fontId="3" fillId="2" borderId="1" xfId="0" applyFont="1" applyFill="1" applyBorder="1"/>
    <xf numFmtId="0" fontId="4" fillId="0" borderId="0" xfId="0" applyFont="1"/>
    <xf numFmtId="3" fontId="5" fillId="0" borderId="0" xfId="0" applyNumberFormat="1" applyFont="1"/>
    <xf numFmtId="0" fontId="6" fillId="0" borderId="0" xfId="0" applyFont="1"/>
    <xf numFmtId="0" fontId="6" fillId="0" borderId="0" xfId="0" applyFont="1" applyAlignment="1">
      <alignment wrapText="1"/>
    </xf>
    <xf numFmtId="164" fontId="7" fillId="0" borderId="0" xfId="0" applyNumberFormat="1" applyFont="1"/>
    <xf numFmtId="164" fontId="5" fillId="0" borderId="0" xfId="0" applyNumberFormat="1" applyFont="1"/>
    <xf numFmtId="3" fontId="7" fillId="0" borderId="0" xfId="0" applyNumberFormat="1" applyFont="1"/>
    <xf numFmtId="4" fontId="7" fillId="0" borderId="0" xfId="0" applyNumberFormat="1" applyFont="1"/>
    <xf numFmtId="4" fontId="5" fillId="0" borderId="0" xfId="0" applyNumberFormat="1" applyFont="1"/>
    <xf numFmtId="4" fontId="4" fillId="0" borderId="0" xfId="0" applyNumberFormat="1" applyFont="1"/>
    <xf numFmtId="3" fontId="4" fillId="0" borderId="0" xfId="0" applyNumberFormat="1" applyFont="1"/>
    <xf numFmtId="164" fontId="4" fillId="0" borderId="0" xfId="0" applyNumberFormat="1" applyFont="1"/>
    <xf numFmtId="0" fontId="5" fillId="3" borderId="1" xfId="0" applyFont="1" applyFill="1" applyBorder="1"/>
    <xf numFmtId="3" fontId="8" fillId="0" borderId="0" xfId="0" applyNumberFormat="1" applyFont="1"/>
    <xf numFmtId="0" fontId="3" fillId="2" borderId="0" xfId="0" applyFont="1" applyFill="1" applyAlignment="1">
      <alignment horizontal="center"/>
    </xf>
    <xf numFmtId="3" fontId="3" fillId="0" borderId="0" xfId="0" applyNumberFormat="1" applyFont="1"/>
    <xf numFmtId="0" fontId="3" fillId="2" borderId="0" xfId="0" applyFont="1" applyFill="1"/>
    <xf numFmtId="164" fontId="0" fillId="0" borderId="0" xfId="0" applyNumberFormat="1"/>
    <xf numFmtId="2" fontId="8" fillId="0" borderId="0" xfId="0" applyNumberFormat="1" applyFont="1"/>
    <xf numFmtId="2" fontId="4" fillId="0" borderId="0" xfId="0" applyNumberFormat="1" applyFont="1"/>
    <xf numFmtId="2" fontId="0" fillId="0" borderId="0" xfId="0" applyNumberFormat="1"/>
    <xf numFmtId="9" fontId="4" fillId="0" borderId="0" xfId="0" applyNumberFormat="1" applyFont="1"/>
    <xf numFmtId="0" fontId="3" fillId="2" borderId="0" xfId="0" applyFont="1" applyFill="1" applyAlignment="1">
      <alignment wrapText="1"/>
    </xf>
    <xf numFmtId="0" fontId="5" fillId="0" borderId="0" xfId="0" applyFont="1"/>
    <xf numFmtId="2" fontId="3" fillId="0" borderId="0" xfId="0" applyNumberFormat="1" applyFont="1"/>
    <xf numFmtId="1" fontId="4" fillId="0" borderId="0" xfId="0" applyNumberFormat="1" applyFont="1"/>
    <xf numFmtId="4" fontId="8" fillId="0" borderId="0" xfId="0" applyNumberFormat="1" applyFont="1"/>
    <xf numFmtId="165" fontId="5" fillId="0" borderId="0" xfId="0" applyNumberFormat="1" applyFont="1"/>
    <xf numFmtId="2" fontId="5" fillId="0" borderId="0" xfId="0" applyNumberFormat="1" applyFont="1"/>
    <xf numFmtId="1" fontId="0" fillId="0" borderId="0" xfId="0" applyNumberFormat="1"/>
    <xf numFmtId="9" fontId="5" fillId="0" borderId="0" xfId="0" applyNumberFormat="1" applyFont="1"/>
    <xf numFmtId="9" fontId="7" fillId="0" borderId="0" xfId="0" applyNumberFormat="1" applyFont="1"/>
    <xf numFmtId="1" fontId="7" fillId="0" borderId="0" xfId="0" applyNumberFormat="1" applyFont="1"/>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BBBBB"/>
      <rgbColor rgb="FF808080"/>
      <rgbColor rgb="FF9999FF"/>
      <rgbColor rgb="FF993366"/>
      <rgbColor rgb="FFFFFFCC"/>
      <rgbColor rgb="FFE5E8E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C55A11"/>
      <rgbColor rgb="FF555555"/>
      <rgbColor rgb="FF969696"/>
      <rgbColor rgb="FF003366"/>
      <rgbColor rgb="FF339966"/>
      <rgbColor rgb="FF121826"/>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685440</xdr:colOff>
      <xdr:row>4</xdr:row>
      <xdr:rowOff>113760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11320" y="190440"/>
          <a:ext cx="685440" cy="685440"/>
        </a:xfrm>
        <a:prstGeom prst="rect">
          <a:avLst/>
        </a:prstGeom>
        <a:ln w="0">
          <a:noFill/>
          <a:prstDash val="solid"/>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7:C18"/>
  <sheetViews>
    <sheetView showGridLines="0" zoomScaleNormal="100" workbookViewId="0">
      <selection activeCell="C17" sqref="C17"/>
    </sheetView>
  </sheetViews>
  <sheetFormatPr defaultColWidth="8.7109375" defaultRowHeight="15" x14ac:dyDescent="0.25"/>
  <cols>
    <col min="1" max="1" width="3" customWidth="1"/>
    <col min="2" max="2" width="34" customWidth="1"/>
    <col min="3" max="3" width="90" customWidth="1"/>
  </cols>
  <sheetData>
    <row r="7" spans="2:3" ht="18" customHeight="1" x14ac:dyDescent="0.25">
      <c r="B7" s="1" t="s">
        <v>417</v>
      </c>
    </row>
    <row r="8" spans="2:3" x14ac:dyDescent="0.25">
      <c r="B8" s="2" t="s">
        <v>418</v>
      </c>
    </row>
    <row r="10" spans="2:3" ht="48" customHeight="1" x14ac:dyDescent="0.25">
      <c r="B10" s="3" t="s">
        <v>419</v>
      </c>
      <c r="C10" s="4" t="s">
        <v>420</v>
      </c>
    </row>
    <row r="11" spans="2:3" ht="48" customHeight="1" x14ac:dyDescent="0.25">
      <c r="B11" s="3" t="s">
        <v>421</v>
      </c>
      <c r="C11" s="4" t="s">
        <v>422</v>
      </c>
    </row>
    <row r="12" spans="2:3" ht="48" customHeight="1" x14ac:dyDescent="0.25">
      <c r="B12" s="3" t="s">
        <v>423</v>
      </c>
      <c r="C12" s="4" t="s">
        <v>424</v>
      </c>
    </row>
    <row r="13" spans="2:3" ht="48" customHeight="1" x14ac:dyDescent="0.25">
      <c r="B13" s="3" t="s">
        <v>425</v>
      </c>
      <c r="C13" s="4" t="s">
        <v>426</v>
      </c>
    </row>
    <row r="14" spans="2:3" ht="48" customHeight="1" x14ac:dyDescent="0.25">
      <c r="B14" s="3" t="s">
        <v>427</v>
      </c>
      <c r="C14" s="4" t="s">
        <v>428</v>
      </c>
    </row>
    <row r="15" spans="2:3" ht="48" customHeight="1" x14ac:dyDescent="0.25">
      <c r="B15" s="3" t="s">
        <v>429</v>
      </c>
      <c r="C15" s="4" t="s">
        <v>430</v>
      </c>
    </row>
    <row r="16" spans="2:3" ht="48" customHeight="1" x14ac:dyDescent="0.25">
      <c r="B16" s="3" t="s">
        <v>431</v>
      </c>
      <c r="C16" s="4" t="s">
        <v>432</v>
      </c>
    </row>
    <row r="17" spans="2:3" ht="31.5" customHeight="1" x14ac:dyDescent="0.25">
      <c r="B17" s="3" t="s">
        <v>433</v>
      </c>
      <c r="C17" s="4" t="s">
        <v>434</v>
      </c>
    </row>
    <row r="18" spans="2:3" ht="76.5" x14ac:dyDescent="0.25">
      <c r="B18" s="3" t="s">
        <v>435</v>
      </c>
      <c r="C18" s="4" t="s">
        <v>436</v>
      </c>
    </row>
  </sheetData>
  <pageMargins left="0.75" right="0.75" top="1" bottom="1" header="0.511811023622047" footer="0.511811023622047"/>
  <pageSetup paperSize="9" orientation="portrait" horizontalDpi="300" verticalDpi="30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19"/>
  <sheetViews>
    <sheetView showGridLines="0" zoomScaleNormal="100" workbookViewId="0">
      <pane ySplit="1" topLeftCell="A28" activePane="bottomLeft" state="frozen"/>
      <selection pane="bottomLeft" activeCell="E58" sqref="E58"/>
    </sheetView>
  </sheetViews>
  <sheetFormatPr defaultColWidth="8.7109375" defaultRowHeight="15" x14ac:dyDescent="0.25"/>
  <cols>
    <col min="1" max="1" width="7" customWidth="1"/>
    <col min="2" max="2" width="50" customWidth="1"/>
    <col min="3" max="3" width="12" customWidth="1"/>
    <col min="4" max="4" width="13" customWidth="1"/>
    <col min="5" max="5" width="60" customWidth="1"/>
    <col min="6" max="6" width="12" customWidth="1"/>
    <col min="7" max="7" width="13" customWidth="1"/>
    <col min="8" max="8" width="60" customWidth="1"/>
  </cols>
  <sheetData>
    <row r="1" spans="1:8" x14ac:dyDescent="0.25">
      <c r="A1" s="5" t="s">
        <v>0</v>
      </c>
      <c r="B1" s="5" t="s">
        <v>1</v>
      </c>
      <c r="C1" s="5" t="s">
        <v>2</v>
      </c>
      <c r="D1" s="5" t="s">
        <v>3</v>
      </c>
      <c r="E1" s="5" t="s">
        <v>4</v>
      </c>
      <c r="F1" s="5" t="s">
        <v>5</v>
      </c>
      <c r="G1" s="5" t="s">
        <v>6</v>
      </c>
      <c r="H1" s="5" t="s">
        <v>7</v>
      </c>
    </row>
    <row r="2" spans="1:8" x14ac:dyDescent="0.25">
      <c r="A2" s="2" t="s">
        <v>8</v>
      </c>
    </row>
    <row r="3" spans="1:8" ht="24.75" customHeight="1" x14ac:dyDescent="0.25">
      <c r="A3" s="6" t="s">
        <v>9</v>
      </c>
      <c r="B3" s="6" t="s">
        <v>10</v>
      </c>
      <c r="C3" s="6" t="s">
        <v>11</v>
      </c>
      <c r="D3" s="7">
        <v>967.378082191781</v>
      </c>
      <c r="E3" s="8" t="s">
        <v>12</v>
      </c>
      <c r="F3" s="8" t="s">
        <v>13</v>
      </c>
      <c r="G3" s="8" t="s">
        <v>14</v>
      </c>
      <c r="H3" s="9" t="s">
        <v>15</v>
      </c>
    </row>
    <row r="4" spans="1:8" ht="24.75" customHeight="1" x14ac:dyDescent="0.25">
      <c r="A4" s="6" t="s">
        <v>16</v>
      </c>
      <c r="B4" s="6" t="s">
        <v>17</v>
      </c>
      <c r="C4" s="6" t="s">
        <v>11</v>
      </c>
      <c r="D4" s="7">
        <v>662.671232876712</v>
      </c>
      <c r="E4" s="8" t="s">
        <v>12</v>
      </c>
      <c r="F4" s="8" t="s">
        <v>13</v>
      </c>
      <c r="G4" s="8" t="s">
        <v>14</v>
      </c>
      <c r="H4" s="9" t="s">
        <v>18</v>
      </c>
    </row>
    <row r="5" spans="1:8" ht="24.75" customHeight="1" x14ac:dyDescent="0.25">
      <c r="A5" s="6" t="s">
        <v>19</v>
      </c>
      <c r="B5" s="6" t="s">
        <v>20</v>
      </c>
      <c r="C5" s="6" t="s">
        <v>11</v>
      </c>
      <c r="D5" s="7">
        <v>735.30136986301397</v>
      </c>
      <c r="E5" s="8" t="s">
        <v>12</v>
      </c>
      <c r="F5" s="8" t="s">
        <v>13</v>
      </c>
      <c r="G5" s="8" t="s">
        <v>14</v>
      </c>
      <c r="H5" s="9" t="s">
        <v>21</v>
      </c>
    </row>
    <row r="6" spans="1:8" x14ac:dyDescent="0.25">
      <c r="A6" s="6" t="s">
        <v>22</v>
      </c>
      <c r="B6" s="6" t="s">
        <v>23</v>
      </c>
      <c r="C6" s="6" t="s">
        <v>11</v>
      </c>
      <c r="D6" s="7">
        <v>436.06301369863002</v>
      </c>
      <c r="E6" s="8" t="s">
        <v>12</v>
      </c>
      <c r="F6" s="8" t="s">
        <v>13</v>
      </c>
      <c r="G6" s="8" t="s">
        <v>14</v>
      </c>
      <c r="H6" s="9"/>
    </row>
    <row r="7" spans="1:8" x14ac:dyDescent="0.25">
      <c r="A7" s="6" t="s">
        <v>24</v>
      </c>
      <c r="B7" s="6" t="s">
        <v>25</v>
      </c>
      <c r="C7" s="6" t="s">
        <v>11</v>
      </c>
      <c r="D7" s="7">
        <v>761.76986301369902</v>
      </c>
      <c r="E7" s="8" t="s">
        <v>12</v>
      </c>
      <c r="F7" s="8" t="s">
        <v>13</v>
      </c>
      <c r="G7" s="8" t="s">
        <v>14</v>
      </c>
      <c r="H7" s="9" t="s">
        <v>26</v>
      </c>
    </row>
    <row r="8" spans="1:8" x14ac:dyDescent="0.25">
      <c r="A8" s="6" t="s">
        <v>27</v>
      </c>
      <c r="B8" s="6" t="s">
        <v>28</v>
      </c>
      <c r="C8" s="6" t="s">
        <v>11</v>
      </c>
      <c r="D8" s="7">
        <v>117.780821917808</v>
      </c>
      <c r="E8" s="8" t="s">
        <v>12</v>
      </c>
      <c r="F8" s="8" t="s">
        <v>13</v>
      </c>
      <c r="G8" s="8" t="s">
        <v>14</v>
      </c>
      <c r="H8" s="9"/>
    </row>
    <row r="9" spans="1:8" x14ac:dyDescent="0.25">
      <c r="A9" s="6" t="s">
        <v>29</v>
      </c>
      <c r="B9" s="6" t="s">
        <v>30</v>
      </c>
      <c r="C9" s="6" t="s">
        <v>11</v>
      </c>
      <c r="D9" s="7">
        <v>201.95890410958901</v>
      </c>
      <c r="E9" s="8" t="s">
        <v>12</v>
      </c>
      <c r="F9" s="8" t="s">
        <v>13</v>
      </c>
      <c r="G9" s="8" t="s">
        <v>14</v>
      </c>
      <c r="H9" s="9"/>
    </row>
    <row r="10" spans="1:8" ht="24.75" customHeight="1" x14ac:dyDescent="0.25">
      <c r="A10" s="6" t="s">
        <v>31</v>
      </c>
      <c r="B10" s="6" t="s">
        <v>32</v>
      </c>
      <c r="C10" s="6" t="s">
        <v>11</v>
      </c>
      <c r="D10" s="7">
        <v>417.57808219178099</v>
      </c>
      <c r="E10" s="8" t="s">
        <v>12</v>
      </c>
      <c r="F10" s="8" t="s">
        <v>13</v>
      </c>
      <c r="G10" s="8" t="s">
        <v>14</v>
      </c>
      <c r="H10" s="9" t="s">
        <v>33</v>
      </c>
    </row>
    <row r="11" spans="1:8" ht="24.75" customHeight="1" x14ac:dyDescent="0.25">
      <c r="A11" s="6" t="s">
        <v>34</v>
      </c>
      <c r="B11" s="6" t="s">
        <v>35</v>
      </c>
      <c r="C11" s="6" t="s">
        <v>11</v>
      </c>
      <c r="D11" s="7">
        <v>1537.0191780821899</v>
      </c>
      <c r="E11" s="8" t="s">
        <v>12</v>
      </c>
      <c r="F11" s="8" t="s">
        <v>13</v>
      </c>
      <c r="G11" s="8" t="s">
        <v>14</v>
      </c>
      <c r="H11" s="9" t="s">
        <v>36</v>
      </c>
    </row>
    <row r="12" spans="1:8" x14ac:dyDescent="0.25">
      <c r="A12" s="6" t="s">
        <v>37</v>
      </c>
      <c r="B12" s="6" t="s">
        <v>38</v>
      </c>
      <c r="C12" s="6" t="s">
        <v>39</v>
      </c>
      <c r="D12" s="10">
        <v>0.03</v>
      </c>
      <c r="E12" s="8" t="s">
        <v>40</v>
      </c>
      <c r="F12" s="8" t="s">
        <v>41</v>
      </c>
      <c r="G12" s="8" t="s">
        <v>42</v>
      </c>
      <c r="H12" s="9" t="s">
        <v>43</v>
      </c>
    </row>
    <row r="13" spans="1:8" x14ac:dyDescent="0.25">
      <c r="A13" s="6" t="s">
        <v>44</v>
      </c>
      <c r="B13" s="6" t="s">
        <v>45</v>
      </c>
      <c r="C13" s="6" t="s">
        <v>46</v>
      </c>
      <c r="D13" s="11">
        <v>0.64724660814046298</v>
      </c>
      <c r="E13" s="8" t="s">
        <v>47</v>
      </c>
      <c r="F13" s="8" t="s">
        <v>13</v>
      </c>
      <c r="G13" s="8" t="s">
        <v>48</v>
      </c>
      <c r="H13" s="9" t="s">
        <v>49</v>
      </c>
    </row>
    <row r="14" spans="1:8" x14ac:dyDescent="0.25">
      <c r="A14" s="2" t="s">
        <v>50</v>
      </c>
    </row>
    <row r="15" spans="1:8" ht="24.75" customHeight="1" x14ac:dyDescent="0.25">
      <c r="A15" s="6" t="s">
        <v>51</v>
      </c>
      <c r="B15" s="6" t="s">
        <v>52</v>
      </c>
      <c r="C15" s="6" t="s">
        <v>11</v>
      </c>
      <c r="D15" s="7">
        <v>5837.5205479452097</v>
      </c>
      <c r="E15" s="8" t="s">
        <v>12</v>
      </c>
      <c r="F15" s="8" t="s">
        <v>13</v>
      </c>
      <c r="G15" s="8" t="s">
        <v>14</v>
      </c>
      <c r="H15" s="9" t="s">
        <v>53</v>
      </c>
    </row>
    <row r="16" spans="1:8" x14ac:dyDescent="0.25">
      <c r="A16" s="6" t="s">
        <v>54</v>
      </c>
      <c r="B16" s="6" t="s">
        <v>55</v>
      </c>
      <c r="C16" s="6" t="s">
        <v>39</v>
      </c>
      <c r="D16" s="10">
        <v>-2.4E-2</v>
      </c>
      <c r="E16" s="8" t="s">
        <v>56</v>
      </c>
      <c r="F16" s="8" t="s">
        <v>57</v>
      </c>
      <c r="G16" s="8" t="s">
        <v>48</v>
      </c>
      <c r="H16" s="9" t="s">
        <v>58</v>
      </c>
    </row>
    <row r="17" spans="1:8" ht="24.75" customHeight="1" x14ac:dyDescent="0.25">
      <c r="A17" s="6" t="s">
        <v>59</v>
      </c>
      <c r="B17" s="6" t="s">
        <v>60</v>
      </c>
      <c r="C17" s="6" t="s">
        <v>61</v>
      </c>
      <c r="D17" s="7">
        <v>2028</v>
      </c>
      <c r="E17" s="8" t="s">
        <v>62</v>
      </c>
      <c r="F17" s="8" t="s">
        <v>63</v>
      </c>
      <c r="G17" s="8" t="s">
        <v>14</v>
      </c>
      <c r="H17" s="9" t="s">
        <v>64</v>
      </c>
    </row>
    <row r="18" spans="1:8" x14ac:dyDescent="0.25">
      <c r="A18" s="6" t="s">
        <v>65</v>
      </c>
      <c r="B18" s="6" t="s">
        <v>66</v>
      </c>
      <c r="C18" s="6" t="s">
        <v>11</v>
      </c>
      <c r="D18" s="12">
        <v>300</v>
      </c>
      <c r="E18" s="8" t="s">
        <v>67</v>
      </c>
      <c r="F18" s="8"/>
      <c r="G18" s="8" t="s">
        <v>42</v>
      </c>
      <c r="H18" s="9"/>
    </row>
    <row r="19" spans="1:8" x14ac:dyDescent="0.25">
      <c r="A19" s="6" t="s">
        <v>68</v>
      </c>
      <c r="B19" s="6" t="s">
        <v>69</v>
      </c>
      <c r="C19" s="6" t="s">
        <v>11</v>
      </c>
      <c r="D19" s="16">
        <f>Inputs!$D$103-Inputs!$D$104</f>
        <v>1400</v>
      </c>
      <c r="E19" s="8" t="s">
        <v>70</v>
      </c>
      <c r="F19" s="8" t="s">
        <v>63</v>
      </c>
      <c r="G19" s="8" t="s">
        <v>48</v>
      </c>
      <c r="H19" s="9"/>
    </row>
    <row r="20" spans="1:8" x14ac:dyDescent="0.25">
      <c r="A20" s="6" t="s">
        <v>71</v>
      </c>
      <c r="B20" s="6" t="s">
        <v>72</v>
      </c>
      <c r="C20" s="6" t="s">
        <v>11</v>
      </c>
      <c r="D20" s="16">
        <f>Inputs!$D$19+Inputs!$D$115*Inputs!$D$116</f>
        <v>1400</v>
      </c>
      <c r="E20" s="8" t="s">
        <v>73</v>
      </c>
      <c r="F20" s="8"/>
      <c r="G20" s="8" t="s">
        <v>48</v>
      </c>
      <c r="H20" s="9"/>
    </row>
    <row r="21" spans="1:8" x14ac:dyDescent="0.25">
      <c r="A21" s="6" t="s">
        <v>74</v>
      </c>
      <c r="B21" s="6" t="s">
        <v>75</v>
      </c>
      <c r="C21" s="6" t="s">
        <v>46</v>
      </c>
      <c r="D21" s="10">
        <v>0.28000000000000003</v>
      </c>
      <c r="E21" s="8" t="s">
        <v>76</v>
      </c>
      <c r="F21" s="8" t="s">
        <v>77</v>
      </c>
      <c r="G21" s="8" t="s">
        <v>78</v>
      </c>
      <c r="H21" s="9"/>
    </row>
    <row r="22" spans="1:8" x14ac:dyDescent="0.25">
      <c r="A22" s="6" t="s">
        <v>79</v>
      </c>
      <c r="B22" s="6" t="s">
        <v>80</v>
      </c>
      <c r="C22" s="6" t="s">
        <v>11</v>
      </c>
      <c r="D22" s="12">
        <v>1900</v>
      </c>
      <c r="E22" s="8" t="s">
        <v>81</v>
      </c>
      <c r="F22" s="8"/>
      <c r="G22" s="8" t="s">
        <v>42</v>
      </c>
      <c r="H22" s="9" t="s">
        <v>82</v>
      </c>
    </row>
    <row r="23" spans="1:8" x14ac:dyDescent="0.25">
      <c r="A23" s="6" t="s">
        <v>83</v>
      </c>
      <c r="B23" s="6" t="s">
        <v>84</v>
      </c>
      <c r="C23" s="6" t="s">
        <v>39</v>
      </c>
      <c r="D23" s="10">
        <v>-0.03</v>
      </c>
      <c r="E23" s="8" t="s">
        <v>85</v>
      </c>
      <c r="F23" s="8"/>
      <c r="G23" s="8" t="s">
        <v>42</v>
      </c>
      <c r="H23" s="9"/>
    </row>
    <row r="24" spans="1:8" x14ac:dyDescent="0.25">
      <c r="A24" s="2" t="s">
        <v>86</v>
      </c>
    </row>
    <row r="25" spans="1:8" x14ac:dyDescent="0.25">
      <c r="A25" s="6" t="s">
        <v>87</v>
      </c>
      <c r="B25" s="6" t="s">
        <v>88</v>
      </c>
      <c r="C25" s="6" t="s">
        <v>89</v>
      </c>
      <c r="D25" s="13">
        <v>3.3</v>
      </c>
      <c r="E25" s="8" t="s">
        <v>90</v>
      </c>
      <c r="F25" s="8"/>
      <c r="G25" s="8" t="s">
        <v>42</v>
      </c>
      <c r="H25" s="9"/>
    </row>
    <row r="26" spans="1:8" x14ac:dyDescent="0.25">
      <c r="A26" s="6" t="s">
        <v>91</v>
      </c>
      <c r="B26" s="6" t="s">
        <v>92</v>
      </c>
      <c r="C26" s="6" t="s">
        <v>93</v>
      </c>
      <c r="D26" s="7">
        <v>103</v>
      </c>
      <c r="E26" s="8" t="s">
        <v>94</v>
      </c>
      <c r="F26" s="8" t="s">
        <v>95</v>
      </c>
      <c r="G26" s="8" t="s">
        <v>96</v>
      </c>
      <c r="H26" s="9"/>
    </row>
    <row r="27" spans="1:8" x14ac:dyDescent="0.25">
      <c r="A27" s="6" t="s">
        <v>97</v>
      </c>
      <c r="B27" s="6" t="s">
        <v>98</v>
      </c>
      <c r="C27" s="6" t="s">
        <v>93</v>
      </c>
      <c r="D27" s="14">
        <v>19</v>
      </c>
      <c r="E27" s="8" t="s">
        <v>99</v>
      </c>
      <c r="F27" s="8" t="s">
        <v>100</v>
      </c>
      <c r="G27" s="8" t="s">
        <v>96</v>
      </c>
      <c r="H27" s="9"/>
    </row>
    <row r="28" spans="1:8" ht="24.75" customHeight="1" x14ac:dyDescent="0.25">
      <c r="A28" s="6" t="s">
        <v>101</v>
      </c>
      <c r="B28" s="6" t="s">
        <v>102</v>
      </c>
      <c r="C28" s="6" t="s">
        <v>93</v>
      </c>
      <c r="D28" s="14">
        <v>85</v>
      </c>
      <c r="E28" s="8" t="s">
        <v>103</v>
      </c>
      <c r="F28" s="8" t="s">
        <v>104</v>
      </c>
      <c r="G28" s="8" t="s">
        <v>96</v>
      </c>
      <c r="H28" s="9" t="s">
        <v>105</v>
      </c>
    </row>
    <row r="29" spans="1:8" x14ac:dyDescent="0.25">
      <c r="A29" s="6" t="s">
        <v>106</v>
      </c>
      <c r="B29" s="6" t="s">
        <v>107</v>
      </c>
      <c r="C29" s="6" t="s">
        <v>93</v>
      </c>
      <c r="D29" s="14">
        <v>62</v>
      </c>
      <c r="E29" s="8" t="s">
        <v>108</v>
      </c>
      <c r="F29" s="8" t="s">
        <v>95</v>
      </c>
      <c r="G29" s="8" t="s">
        <v>96</v>
      </c>
      <c r="H29" s="9"/>
    </row>
    <row r="30" spans="1:8" x14ac:dyDescent="0.25">
      <c r="A30" s="2" t="s">
        <v>109</v>
      </c>
    </row>
    <row r="31" spans="1:8" x14ac:dyDescent="0.25">
      <c r="A31" s="6" t="s">
        <v>110</v>
      </c>
      <c r="B31" s="6" t="s">
        <v>111</v>
      </c>
      <c r="C31" s="6" t="s">
        <v>112</v>
      </c>
      <c r="D31" s="14">
        <v>6.5</v>
      </c>
      <c r="E31" s="8" t="s">
        <v>113</v>
      </c>
      <c r="F31" s="8" t="s">
        <v>114</v>
      </c>
      <c r="G31" s="8" t="s">
        <v>14</v>
      </c>
      <c r="H31" s="9"/>
    </row>
    <row r="32" spans="1:8" x14ac:dyDescent="0.25">
      <c r="A32" s="6" t="s">
        <v>115</v>
      </c>
      <c r="B32" s="6" t="s">
        <v>116</v>
      </c>
      <c r="C32" s="6" t="s">
        <v>112</v>
      </c>
      <c r="D32" s="14">
        <v>7</v>
      </c>
      <c r="E32" s="8" t="s">
        <v>117</v>
      </c>
      <c r="F32" s="8" t="s">
        <v>114</v>
      </c>
      <c r="G32" s="8" t="s">
        <v>14</v>
      </c>
      <c r="H32" s="9"/>
    </row>
    <row r="33" spans="1:8" x14ac:dyDescent="0.25">
      <c r="A33" s="6" t="s">
        <v>118</v>
      </c>
      <c r="B33" s="6" t="s">
        <v>119</v>
      </c>
      <c r="C33" s="6" t="s">
        <v>112</v>
      </c>
      <c r="D33" s="14">
        <v>9.6</v>
      </c>
      <c r="E33" s="8" t="s">
        <v>120</v>
      </c>
      <c r="F33" s="8" t="s">
        <v>104</v>
      </c>
      <c r="G33" s="8" t="s">
        <v>14</v>
      </c>
      <c r="H33" s="9"/>
    </row>
    <row r="34" spans="1:8" x14ac:dyDescent="0.25">
      <c r="A34" s="6" t="s">
        <v>121</v>
      </c>
      <c r="B34" s="6" t="s">
        <v>122</v>
      </c>
      <c r="C34" s="6" t="s">
        <v>112</v>
      </c>
      <c r="D34" s="14">
        <v>13</v>
      </c>
      <c r="E34" s="8" t="s">
        <v>123</v>
      </c>
      <c r="F34" s="8" t="s">
        <v>104</v>
      </c>
      <c r="G34" s="8" t="s">
        <v>124</v>
      </c>
      <c r="H34" s="9"/>
    </row>
    <row r="35" spans="1:8" x14ac:dyDescent="0.25">
      <c r="A35" s="6" t="s">
        <v>125</v>
      </c>
      <c r="B35" s="6" t="s">
        <v>126</v>
      </c>
      <c r="C35" s="6" t="s">
        <v>112</v>
      </c>
      <c r="D35" s="14">
        <v>14.94</v>
      </c>
      <c r="E35" s="8" t="s">
        <v>127</v>
      </c>
      <c r="F35" s="8" t="s">
        <v>104</v>
      </c>
      <c r="G35" s="8" t="s">
        <v>14</v>
      </c>
      <c r="H35" s="9"/>
    </row>
    <row r="36" spans="1:8" x14ac:dyDescent="0.25">
      <c r="A36" s="6" t="s">
        <v>128</v>
      </c>
      <c r="B36" s="6" t="s">
        <v>129</v>
      </c>
      <c r="C36" s="6" t="s">
        <v>112</v>
      </c>
      <c r="D36" s="14">
        <v>20.57</v>
      </c>
      <c r="E36" s="8" t="s">
        <v>130</v>
      </c>
      <c r="F36" s="8" t="s">
        <v>104</v>
      </c>
      <c r="G36" s="8" t="s">
        <v>131</v>
      </c>
      <c r="H36" s="9"/>
    </row>
    <row r="37" spans="1:8" x14ac:dyDescent="0.25">
      <c r="A37" s="6" t="s">
        <v>132</v>
      </c>
      <c r="B37" s="6" t="s">
        <v>133</v>
      </c>
      <c r="C37" s="6" t="s">
        <v>112</v>
      </c>
      <c r="D37" s="14">
        <v>31.565000000000001</v>
      </c>
      <c r="E37" s="8" t="s">
        <v>134</v>
      </c>
      <c r="F37" s="8" t="s">
        <v>135</v>
      </c>
      <c r="G37" s="8" t="s">
        <v>14</v>
      </c>
      <c r="H37" s="9" t="s">
        <v>136</v>
      </c>
    </row>
    <row r="38" spans="1:8" x14ac:dyDescent="0.25">
      <c r="A38" s="6" t="s">
        <v>137</v>
      </c>
      <c r="B38" s="6" t="s">
        <v>138</v>
      </c>
      <c r="C38" s="6" t="s">
        <v>112</v>
      </c>
      <c r="D38" s="14">
        <v>2.9470000000000001</v>
      </c>
      <c r="E38" s="8" t="s">
        <v>139</v>
      </c>
      <c r="F38" s="8" t="s">
        <v>135</v>
      </c>
      <c r="G38" s="8" t="s">
        <v>14</v>
      </c>
      <c r="H38" s="9"/>
    </row>
    <row r="39" spans="1:8" x14ac:dyDescent="0.25">
      <c r="A39" s="6" t="s">
        <v>140</v>
      </c>
      <c r="B39" s="6" t="s">
        <v>141</v>
      </c>
      <c r="C39" s="6" t="s">
        <v>112</v>
      </c>
      <c r="D39" s="13">
        <v>1.75</v>
      </c>
      <c r="E39" s="8" t="s">
        <v>142</v>
      </c>
      <c r="F39" s="8"/>
      <c r="G39" s="8" t="s">
        <v>42</v>
      </c>
      <c r="H39" s="9"/>
    </row>
    <row r="40" spans="1:8" x14ac:dyDescent="0.25">
      <c r="A40" s="6" t="s">
        <v>143</v>
      </c>
      <c r="B40" s="6" t="s">
        <v>144</v>
      </c>
      <c r="C40" s="6" t="s">
        <v>112</v>
      </c>
      <c r="D40" s="13">
        <v>7.6</v>
      </c>
      <c r="E40" s="8" t="s">
        <v>145</v>
      </c>
      <c r="F40" s="8"/>
      <c r="G40" s="8" t="s">
        <v>48</v>
      </c>
      <c r="H40" s="9" t="s">
        <v>146</v>
      </c>
    </row>
    <row r="41" spans="1:8" x14ac:dyDescent="0.25">
      <c r="A41" s="6" t="s">
        <v>147</v>
      </c>
      <c r="B41" s="6" t="s">
        <v>148</v>
      </c>
      <c r="C41" s="6" t="s">
        <v>112</v>
      </c>
      <c r="D41" s="14">
        <v>5.5</v>
      </c>
      <c r="E41" s="8" t="s">
        <v>149</v>
      </c>
      <c r="F41" s="8" t="s">
        <v>114</v>
      </c>
      <c r="G41" s="8" t="s">
        <v>150</v>
      </c>
      <c r="H41" s="9"/>
    </row>
    <row r="42" spans="1:8" ht="24.75" customHeight="1" x14ac:dyDescent="0.25">
      <c r="A42" s="6" t="s">
        <v>151</v>
      </c>
      <c r="B42" s="6" t="s">
        <v>152</v>
      </c>
      <c r="C42" s="6" t="s">
        <v>112</v>
      </c>
      <c r="D42" s="15">
        <v>7.13098839108103E-3</v>
      </c>
      <c r="E42" s="8" t="s">
        <v>153</v>
      </c>
      <c r="F42" s="8" t="s">
        <v>13</v>
      </c>
      <c r="G42" s="8" t="s">
        <v>48</v>
      </c>
      <c r="H42" s="9" t="s">
        <v>154</v>
      </c>
    </row>
    <row r="43" spans="1:8" x14ac:dyDescent="0.25">
      <c r="A43" s="6" t="s">
        <v>155</v>
      </c>
      <c r="B43" s="6" t="s">
        <v>156</v>
      </c>
      <c r="C43" s="6" t="s">
        <v>112</v>
      </c>
      <c r="D43" s="13">
        <v>7.5</v>
      </c>
      <c r="E43" s="8" t="s">
        <v>157</v>
      </c>
      <c r="F43" s="8"/>
      <c r="G43" s="8" t="s">
        <v>42</v>
      </c>
      <c r="H43" s="9"/>
    </row>
    <row r="44" spans="1:8" x14ac:dyDescent="0.25">
      <c r="A44" s="6" t="s">
        <v>158</v>
      </c>
      <c r="B44" s="6" t="s">
        <v>159</v>
      </c>
      <c r="C44" s="6" t="s">
        <v>112</v>
      </c>
      <c r="D44" s="13">
        <v>10</v>
      </c>
      <c r="E44" s="8" t="s">
        <v>85</v>
      </c>
      <c r="F44" s="8"/>
      <c r="G44" s="8" t="s">
        <v>42</v>
      </c>
      <c r="H44" s="9"/>
    </row>
    <row r="45" spans="1:8" x14ac:dyDescent="0.25">
      <c r="A45" s="2" t="s">
        <v>160</v>
      </c>
    </row>
    <row r="46" spans="1:8" x14ac:dyDescent="0.25">
      <c r="A46" s="6" t="s">
        <v>161</v>
      </c>
      <c r="B46" s="6" t="s">
        <v>162</v>
      </c>
      <c r="C46" s="6" t="s">
        <v>163</v>
      </c>
      <c r="D46" s="7">
        <v>317.69186000000002</v>
      </c>
      <c r="E46" s="8" t="s">
        <v>164</v>
      </c>
      <c r="F46" s="8" t="s">
        <v>13</v>
      </c>
      <c r="G46" s="8" t="s">
        <v>14</v>
      </c>
      <c r="H46" s="9"/>
    </row>
    <row r="47" spans="1:8" x14ac:dyDescent="0.25">
      <c r="A47" s="6" t="s">
        <v>165</v>
      </c>
      <c r="B47" s="6" t="s">
        <v>166</v>
      </c>
      <c r="C47" s="6" t="s">
        <v>167</v>
      </c>
      <c r="D47" s="7">
        <v>1155.4835839986599</v>
      </c>
      <c r="E47" s="8" t="s">
        <v>168</v>
      </c>
      <c r="F47" s="8" t="s">
        <v>13</v>
      </c>
      <c r="G47" s="8" t="s">
        <v>14</v>
      </c>
      <c r="H47" s="9"/>
    </row>
    <row r="48" spans="1:8" x14ac:dyDescent="0.25">
      <c r="A48" s="6" t="s">
        <v>169</v>
      </c>
      <c r="B48" s="6" t="s">
        <v>170</v>
      </c>
      <c r="C48" s="6" t="s">
        <v>167</v>
      </c>
      <c r="D48" s="7">
        <v>1679.16123818848</v>
      </c>
      <c r="E48" s="8" t="s">
        <v>171</v>
      </c>
      <c r="F48" s="8" t="s">
        <v>13</v>
      </c>
      <c r="G48" s="8" t="s">
        <v>48</v>
      </c>
      <c r="H48" s="9"/>
    </row>
    <row r="49" spans="1:8" x14ac:dyDescent="0.25">
      <c r="A49" s="6" t="s">
        <v>172</v>
      </c>
      <c r="B49" s="6" t="s">
        <v>173</v>
      </c>
      <c r="C49" s="6" t="s">
        <v>163</v>
      </c>
      <c r="D49" s="14">
        <v>61.032519999999998</v>
      </c>
      <c r="E49" s="8" t="s">
        <v>174</v>
      </c>
      <c r="F49" s="8" t="s">
        <v>13</v>
      </c>
      <c r="G49" s="8" t="s">
        <v>14</v>
      </c>
      <c r="H49" s="9" t="s">
        <v>175</v>
      </c>
    </row>
    <row r="50" spans="1:8" x14ac:dyDescent="0.25">
      <c r="A50" s="6" t="s">
        <v>176</v>
      </c>
      <c r="B50" s="6" t="s">
        <v>177</v>
      </c>
      <c r="C50" s="6" t="s">
        <v>11</v>
      </c>
      <c r="D50" s="7">
        <v>1317.82150684932</v>
      </c>
      <c r="E50" s="8" t="s">
        <v>178</v>
      </c>
      <c r="F50" s="8" t="s">
        <v>13</v>
      </c>
      <c r="G50" s="8" t="s">
        <v>48</v>
      </c>
      <c r="H50" s="9"/>
    </row>
    <row r="51" spans="1:8" x14ac:dyDescent="0.25">
      <c r="A51" s="6" t="s">
        <v>179</v>
      </c>
      <c r="B51" s="6" t="s">
        <v>180</v>
      </c>
      <c r="C51" s="6" t="s">
        <v>181</v>
      </c>
      <c r="D51" s="15">
        <f>Inputs!$D$50*365/Inputs!$D$49/1000</f>
        <v>7.8811238664240282</v>
      </c>
      <c r="E51" s="8" t="s">
        <v>182</v>
      </c>
      <c r="F51" s="8"/>
      <c r="G51" s="8" t="s">
        <v>48</v>
      </c>
      <c r="H51" s="9"/>
    </row>
    <row r="52" spans="1:8" x14ac:dyDescent="0.25">
      <c r="A52" s="6" t="s">
        <v>183</v>
      </c>
      <c r="B52" s="6" t="s">
        <v>184</v>
      </c>
      <c r="C52" s="6" t="s">
        <v>185</v>
      </c>
      <c r="D52" s="7">
        <v>200.195481</v>
      </c>
      <c r="E52" s="8" t="s">
        <v>186</v>
      </c>
      <c r="F52" s="8" t="s">
        <v>13</v>
      </c>
      <c r="G52" s="8" t="s">
        <v>14</v>
      </c>
      <c r="H52" s="9" t="s">
        <v>187</v>
      </c>
    </row>
    <row r="53" spans="1:8" x14ac:dyDescent="0.25">
      <c r="A53" s="6" t="s">
        <v>188</v>
      </c>
      <c r="B53" s="6" t="s">
        <v>189</v>
      </c>
      <c r="C53" s="6" t="s">
        <v>46</v>
      </c>
      <c r="D53" s="11">
        <v>0.76030735707322705</v>
      </c>
      <c r="E53" s="8" t="s">
        <v>190</v>
      </c>
      <c r="F53" s="8" t="s">
        <v>104</v>
      </c>
      <c r="G53" s="8" t="s">
        <v>48</v>
      </c>
      <c r="H53" s="9"/>
    </row>
    <row r="54" spans="1:8" ht="24.75" customHeight="1" x14ac:dyDescent="0.25">
      <c r="A54" s="6" t="s">
        <v>191</v>
      </c>
      <c r="B54" s="6" t="s">
        <v>192</v>
      </c>
      <c r="C54" s="6" t="s">
        <v>193</v>
      </c>
      <c r="D54" s="14">
        <v>14</v>
      </c>
      <c r="E54" s="8" t="s">
        <v>194</v>
      </c>
      <c r="F54" s="8" t="s">
        <v>195</v>
      </c>
      <c r="G54" s="8" t="s">
        <v>96</v>
      </c>
      <c r="H54" s="9" t="s">
        <v>196</v>
      </c>
    </row>
    <row r="55" spans="1:8" x14ac:dyDescent="0.25">
      <c r="A55" s="2" t="s">
        <v>197</v>
      </c>
    </row>
    <row r="56" spans="1:8" x14ac:dyDescent="0.25">
      <c r="A56" s="6" t="s">
        <v>198</v>
      </c>
      <c r="B56" s="6" t="s">
        <v>199</v>
      </c>
      <c r="C56" s="6" t="s">
        <v>200</v>
      </c>
      <c r="D56" s="14">
        <v>70</v>
      </c>
      <c r="E56" s="8" t="s">
        <v>201</v>
      </c>
      <c r="F56" s="8" t="s">
        <v>41</v>
      </c>
      <c r="G56" s="8" t="s">
        <v>14</v>
      </c>
      <c r="H56" s="9"/>
    </row>
    <row r="57" spans="1:8" ht="24.75" customHeight="1" x14ac:dyDescent="0.25">
      <c r="A57" s="6" t="s">
        <v>202</v>
      </c>
      <c r="B57" s="6" t="s">
        <v>203</v>
      </c>
      <c r="C57" s="6" t="s">
        <v>200</v>
      </c>
      <c r="D57" s="14">
        <v>91.9</v>
      </c>
      <c r="E57" s="8" t="s">
        <v>201</v>
      </c>
      <c r="F57" s="8" t="s">
        <v>41</v>
      </c>
      <c r="G57" s="8" t="s">
        <v>14</v>
      </c>
      <c r="H57" s="9" t="s">
        <v>204</v>
      </c>
    </row>
    <row r="58" spans="1:8" x14ac:dyDescent="0.25">
      <c r="A58" s="6" t="s">
        <v>205</v>
      </c>
      <c r="B58" s="6" t="s">
        <v>206</v>
      </c>
      <c r="C58" s="6" t="s">
        <v>207</v>
      </c>
      <c r="D58" s="7">
        <v>17449</v>
      </c>
      <c r="E58" s="8" t="s">
        <v>208</v>
      </c>
      <c r="F58" s="8" t="s">
        <v>41</v>
      </c>
      <c r="G58" s="8" t="s">
        <v>14</v>
      </c>
      <c r="H58" s="9"/>
    </row>
    <row r="59" spans="1:8" x14ac:dyDescent="0.25">
      <c r="A59" s="6" t="s">
        <v>209</v>
      </c>
      <c r="B59" s="6" t="s">
        <v>210</v>
      </c>
      <c r="C59" s="6" t="s">
        <v>185</v>
      </c>
      <c r="D59" s="7">
        <v>210.1</v>
      </c>
      <c r="E59" s="8" t="s">
        <v>211</v>
      </c>
      <c r="F59" s="8" t="s">
        <v>212</v>
      </c>
      <c r="G59" s="8" t="s">
        <v>14</v>
      </c>
      <c r="H59" s="9"/>
    </row>
    <row r="60" spans="1:8" x14ac:dyDescent="0.25">
      <c r="A60" s="6" t="s">
        <v>213</v>
      </c>
      <c r="B60" s="6" t="s">
        <v>214</v>
      </c>
      <c r="C60" s="6" t="s">
        <v>185</v>
      </c>
      <c r="D60" s="7">
        <v>338</v>
      </c>
      <c r="E60" s="8" t="s">
        <v>215</v>
      </c>
      <c r="F60" s="8" t="s">
        <v>216</v>
      </c>
      <c r="G60" s="8" t="s">
        <v>217</v>
      </c>
      <c r="H60" s="9" t="s">
        <v>218</v>
      </c>
    </row>
    <row r="61" spans="1:8" x14ac:dyDescent="0.25">
      <c r="A61" s="6" t="s">
        <v>219</v>
      </c>
      <c r="B61" s="6" t="s">
        <v>220</v>
      </c>
      <c r="C61" s="6" t="s">
        <v>185</v>
      </c>
      <c r="D61" s="7">
        <v>376.8</v>
      </c>
      <c r="E61" s="8" t="s">
        <v>221</v>
      </c>
      <c r="F61" s="8" t="s">
        <v>41</v>
      </c>
      <c r="G61" s="8" t="s">
        <v>14</v>
      </c>
      <c r="H61" s="9" t="s">
        <v>222</v>
      </c>
    </row>
    <row r="62" spans="1:8" x14ac:dyDescent="0.25">
      <c r="A62" s="6" t="s">
        <v>223</v>
      </c>
      <c r="B62" s="6" t="s">
        <v>224</v>
      </c>
      <c r="C62" s="6" t="s">
        <v>185</v>
      </c>
      <c r="D62" s="7">
        <v>525.9</v>
      </c>
      <c r="E62" s="8" t="s">
        <v>225</v>
      </c>
      <c r="F62" s="8" t="s">
        <v>216</v>
      </c>
      <c r="G62" s="8" t="s">
        <v>96</v>
      </c>
      <c r="H62" s="9" t="s">
        <v>226</v>
      </c>
    </row>
    <row r="63" spans="1:8" ht="24.75" customHeight="1" x14ac:dyDescent="0.25">
      <c r="A63" s="6" t="s">
        <v>227</v>
      </c>
      <c r="B63" s="6" t="s">
        <v>228</v>
      </c>
      <c r="C63" s="6" t="s">
        <v>229</v>
      </c>
      <c r="D63" s="14">
        <v>11.4</v>
      </c>
      <c r="E63" s="8" t="s">
        <v>230</v>
      </c>
      <c r="F63" s="8" t="s">
        <v>216</v>
      </c>
      <c r="G63" s="8" t="s">
        <v>14</v>
      </c>
      <c r="H63" s="9" t="s">
        <v>231</v>
      </c>
    </row>
    <row r="64" spans="1:8" x14ac:dyDescent="0.25">
      <c r="A64" s="6" t="s">
        <v>232</v>
      </c>
      <c r="B64" s="6" t="s">
        <v>233</v>
      </c>
      <c r="C64" s="6" t="s">
        <v>229</v>
      </c>
      <c r="D64" s="13">
        <v>4</v>
      </c>
      <c r="E64" s="8" t="s">
        <v>234</v>
      </c>
      <c r="F64" s="8"/>
      <c r="G64" s="8" t="s">
        <v>48</v>
      </c>
      <c r="H64" s="9"/>
    </row>
    <row r="65" spans="1:8" x14ac:dyDescent="0.25">
      <c r="A65" s="6" t="s">
        <v>235</v>
      </c>
      <c r="B65" s="6" t="s">
        <v>236</v>
      </c>
      <c r="C65" s="6" t="s">
        <v>237</v>
      </c>
      <c r="D65" s="13">
        <v>3</v>
      </c>
      <c r="E65" s="8" t="s">
        <v>238</v>
      </c>
      <c r="F65" s="8"/>
      <c r="G65" s="8" t="s">
        <v>42</v>
      </c>
      <c r="H65" s="9"/>
    </row>
    <row r="66" spans="1:8" x14ac:dyDescent="0.25">
      <c r="A66" s="6" t="s">
        <v>239</v>
      </c>
      <c r="B66" s="6" t="s">
        <v>240</v>
      </c>
      <c r="C66" s="6" t="s">
        <v>241</v>
      </c>
      <c r="D66" s="11">
        <v>2.8500000000000001E-2</v>
      </c>
      <c r="E66" s="8" t="s">
        <v>242</v>
      </c>
      <c r="F66" s="8" t="s">
        <v>77</v>
      </c>
      <c r="G66" s="8" t="s">
        <v>14</v>
      </c>
      <c r="H66" s="9" t="s">
        <v>243</v>
      </c>
    </row>
    <row r="67" spans="1:8" x14ac:dyDescent="0.25">
      <c r="A67" s="6" t="s">
        <v>244</v>
      </c>
      <c r="B67" s="6" t="s">
        <v>245</v>
      </c>
      <c r="C67" s="6" t="s">
        <v>185</v>
      </c>
      <c r="D67" s="15">
        <v>25764.912280701799</v>
      </c>
      <c r="E67" s="8" t="s">
        <v>246</v>
      </c>
      <c r="F67" s="8"/>
      <c r="G67" s="8" t="s">
        <v>48</v>
      </c>
      <c r="H67" s="9"/>
    </row>
    <row r="68" spans="1:8" ht="24.75" customHeight="1" x14ac:dyDescent="0.25">
      <c r="A68" s="6" t="s">
        <v>247</v>
      </c>
      <c r="B68" s="6" t="s">
        <v>248</v>
      </c>
      <c r="C68" s="6" t="s">
        <v>185</v>
      </c>
      <c r="D68" s="14">
        <v>15.67</v>
      </c>
      <c r="E68" s="8" t="s">
        <v>249</v>
      </c>
      <c r="F68" s="8" t="s">
        <v>250</v>
      </c>
      <c r="G68" s="8" t="s">
        <v>14</v>
      </c>
      <c r="H68" s="9" t="s">
        <v>251</v>
      </c>
    </row>
    <row r="69" spans="1:8" x14ac:dyDescent="0.25">
      <c r="A69" s="6" t="s">
        <v>252</v>
      </c>
      <c r="B69" s="6" t="s">
        <v>253</v>
      </c>
      <c r="C69" s="6" t="s">
        <v>185</v>
      </c>
      <c r="D69" s="14">
        <v>27.81</v>
      </c>
      <c r="E69" s="8" t="s">
        <v>254</v>
      </c>
      <c r="F69" s="8" t="s">
        <v>250</v>
      </c>
      <c r="G69" s="8" t="s">
        <v>255</v>
      </c>
      <c r="H69" s="9"/>
    </row>
    <row r="70" spans="1:8" ht="24.75" customHeight="1" x14ac:dyDescent="0.25">
      <c r="A70" s="6" t="s">
        <v>256</v>
      </c>
      <c r="B70" s="6" t="s">
        <v>257</v>
      </c>
      <c r="C70" s="6" t="s">
        <v>258</v>
      </c>
      <c r="D70" s="14">
        <v>2.6</v>
      </c>
      <c r="E70" s="8" t="s">
        <v>259</v>
      </c>
      <c r="F70" s="8" t="s">
        <v>250</v>
      </c>
      <c r="G70" s="8" t="s">
        <v>96</v>
      </c>
      <c r="H70" s="9" t="s">
        <v>260</v>
      </c>
    </row>
    <row r="71" spans="1:8" x14ac:dyDescent="0.25">
      <c r="A71" s="6" t="s">
        <v>261</v>
      </c>
      <c r="B71" s="6" t="s">
        <v>262</v>
      </c>
      <c r="C71" s="6" t="s">
        <v>185</v>
      </c>
      <c r="D71" s="14">
        <v>36.299999999999997</v>
      </c>
      <c r="E71" s="8" t="s">
        <v>263</v>
      </c>
      <c r="F71" s="8" t="s">
        <v>41</v>
      </c>
      <c r="G71" s="8" t="s">
        <v>14</v>
      </c>
      <c r="H71" s="9"/>
    </row>
    <row r="72" spans="1:8" x14ac:dyDescent="0.25">
      <c r="A72" s="6" t="s">
        <v>264</v>
      </c>
      <c r="B72" s="6" t="s">
        <v>265</v>
      </c>
      <c r="C72" s="6" t="s">
        <v>266</v>
      </c>
      <c r="D72" s="14">
        <v>10.1</v>
      </c>
      <c r="E72" s="8" t="s">
        <v>267</v>
      </c>
      <c r="F72" s="8" t="s">
        <v>212</v>
      </c>
      <c r="G72" s="8" t="s">
        <v>96</v>
      </c>
      <c r="H72" s="9"/>
    </row>
    <row r="73" spans="1:8" ht="24.75" customHeight="1" x14ac:dyDescent="0.25">
      <c r="A73" s="6" t="s">
        <v>268</v>
      </c>
      <c r="B73" s="6" t="s">
        <v>269</v>
      </c>
      <c r="C73" s="6" t="s">
        <v>200</v>
      </c>
      <c r="D73" s="7">
        <v>112.81</v>
      </c>
      <c r="E73" s="8" t="s">
        <v>270</v>
      </c>
      <c r="F73" s="8" t="s">
        <v>41</v>
      </c>
      <c r="G73" s="8" t="s">
        <v>271</v>
      </c>
      <c r="H73" s="9" t="s">
        <v>272</v>
      </c>
    </row>
    <row r="74" spans="1:8" x14ac:dyDescent="0.25">
      <c r="A74" s="6" t="s">
        <v>273</v>
      </c>
      <c r="B74" s="6" t="s">
        <v>274</v>
      </c>
      <c r="C74" s="6" t="s">
        <v>200</v>
      </c>
      <c r="D74" s="16">
        <v>102.66</v>
      </c>
      <c r="E74" s="8" t="s">
        <v>275</v>
      </c>
      <c r="F74" s="8"/>
      <c r="G74" s="8" t="s">
        <v>48</v>
      </c>
      <c r="H74" s="9"/>
    </row>
    <row r="75" spans="1:8" x14ac:dyDescent="0.25">
      <c r="A75" s="2" t="s">
        <v>276</v>
      </c>
    </row>
    <row r="76" spans="1:8" x14ac:dyDescent="0.25">
      <c r="A76" s="6" t="s">
        <v>277</v>
      </c>
      <c r="B76" s="6" t="s">
        <v>278</v>
      </c>
      <c r="C76" s="6" t="s">
        <v>11</v>
      </c>
      <c r="D76" s="15">
        <f>Inputs!$D$4</f>
        <v>662.671232876712</v>
      </c>
      <c r="E76" s="8" t="s">
        <v>279</v>
      </c>
      <c r="F76" s="8"/>
      <c r="G76" s="8" t="s">
        <v>280</v>
      </c>
      <c r="H76" s="9"/>
    </row>
    <row r="77" spans="1:8" x14ac:dyDescent="0.25">
      <c r="A77" s="6" t="s">
        <v>281</v>
      </c>
      <c r="B77" s="6" t="s">
        <v>282</v>
      </c>
      <c r="C77" s="6" t="s">
        <v>46</v>
      </c>
      <c r="D77" s="13">
        <v>1</v>
      </c>
      <c r="E77" s="8" t="s">
        <v>283</v>
      </c>
      <c r="F77" s="8"/>
      <c r="G77" s="8" t="s">
        <v>42</v>
      </c>
      <c r="H77" s="9"/>
    </row>
    <row r="78" spans="1:8" x14ac:dyDescent="0.25">
      <c r="A78" s="6" t="s">
        <v>284</v>
      </c>
      <c r="B78" s="6" t="s">
        <v>285</v>
      </c>
      <c r="C78" s="6" t="s">
        <v>46</v>
      </c>
      <c r="D78" s="10">
        <v>0.9</v>
      </c>
      <c r="E78" s="8" t="s">
        <v>286</v>
      </c>
      <c r="F78" s="8"/>
      <c r="G78" s="8" t="s">
        <v>42</v>
      </c>
      <c r="H78" s="9"/>
    </row>
    <row r="79" spans="1:8" x14ac:dyDescent="0.25">
      <c r="A79" s="6" t="s">
        <v>287</v>
      </c>
      <c r="B79" s="6" t="s">
        <v>288</v>
      </c>
      <c r="C79" s="6" t="s">
        <v>11</v>
      </c>
      <c r="D79" s="12">
        <v>400</v>
      </c>
      <c r="E79" s="8" t="s">
        <v>289</v>
      </c>
      <c r="F79" s="8"/>
      <c r="G79" s="8" t="s">
        <v>42</v>
      </c>
      <c r="H79" s="9"/>
    </row>
    <row r="80" spans="1:8" x14ac:dyDescent="0.25">
      <c r="A80" s="6" t="s">
        <v>290</v>
      </c>
      <c r="B80" s="6" t="s">
        <v>291</v>
      </c>
      <c r="C80" s="6" t="s">
        <v>46</v>
      </c>
      <c r="D80" s="11">
        <v>0.56999999999999995</v>
      </c>
      <c r="E80" s="8" t="s">
        <v>292</v>
      </c>
      <c r="F80" s="8" t="s">
        <v>104</v>
      </c>
      <c r="G80" s="8" t="s">
        <v>14</v>
      </c>
      <c r="H80" s="9"/>
    </row>
    <row r="81" spans="1:8" x14ac:dyDescent="0.25">
      <c r="A81" s="6" t="s">
        <v>293</v>
      </c>
      <c r="B81" s="6" t="s">
        <v>294</v>
      </c>
      <c r="C81" s="6" t="s">
        <v>46</v>
      </c>
      <c r="D81" s="10">
        <v>0.55000000000000004</v>
      </c>
      <c r="E81" s="8" t="s">
        <v>295</v>
      </c>
      <c r="F81" s="8" t="s">
        <v>296</v>
      </c>
      <c r="G81" s="8" t="s">
        <v>48</v>
      </c>
      <c r="H81" s="9"/>
    </row>
    <row r="82" spans="1:8" x14ac:dyDescent="0.25">
      <c r="A82" s="6" t="s">
        <v>297</v>
      </c>
      <c r="B82" s="6" t="s">
        <v>298</v>
      </c>
      <c r="C82" s="6" t="s">
        <v>11</v>
      </c>
      <c r="D82" s="15">
        <f>Inputs!$D$5</f>
        <v>735.30136986301397</v>
      </c>
      <c r="E82" s="8" t="s">
        <v>299</v>
      </c>
      <c r="F82" s="8"/>
      <c r="G82" s="8" t="s">
        <v>280</v>
      </c>
      <c r="H82" s="9"/>
    </row>
    <row r="83" spans="1:8" x14ac:dyDescent="0.25">
      <c r="A83" s="6" t="s">
        <v>300</v>
      </c>
      <c r="B83" s="6" t="s">
        <v>301</v>
      </c>
      <c r="C83" s="6" t="s">
        <v>46</v>
      </c>
      <c r="D83" s="10">
        <v>0.8</v>
      </c>
      <c r="E83" s="8" t="s">
        <v>302</v>
      </c>
      <c r="F83" s="8"/>
      <c r="G83" s="8" t="s">
        <v>42</v>
      </c>
      <c r="H83" s="9"/>
    </row>
    <row r="84" spans="1:8" x14ac:dyDescent="0.25">
      <c r="A84" s="6" t="s">
        <v>303</v>
      </c>
      <c r="B84" s="6" t="s">
        <v>304</v>
      </c>
      <c r="C84" s="6" t="s">
        <v>46</v>
      </c>
      <c r="D84" s="11">
        <v>0.8</v>
      </c>
      <c r="E84" s="8" t="s">
        <v>305</v>
      </c>
      <c r="F84" s="8" t="s">
        <v>104</v>
      </c>
      <c r="G84" s="8" t="s">
        <v>96</v>
      </c>
      <c r="H84" s="9"/>
    </row>
    <row r="85" spans="1:8" x14ac:dyDescent="0.25">
      <c r="A85" s="6" t="s">
        <v>306</v>
      </c>
      <c r="B85" s="6" t="s">
        <v>307</v>
      </c>
      <c r="C85" s="6" t="s">
        <v>308</v>
      </c>
      <c r="D85" s="14">
        <v>20</v>
      </c>
      <c r="E85" s="8" t="s">
        <v>309</v>
      </c>
      <c r="F85" s="8" t="s">
        <v>41</v>
      </c>
      <c r="G85" s="8" t="s">
        <v>96</v>
      </c>
      <c r="H85" s="9"/>
    </row>
    <row r="86" spans="1:8" x14ac:dyDescent="0.25">
      <c r="A86" s="2" t="s">
        <v>310</v>
      </c>
    </row>
    <row r="87" spans="1:8" x14ac:dyDescent="0.25">
      <c r="A87" s="6" t="s">
        <v>311</v>
      </c>
      <c r="B87" s="6" t="s">
        <v>312</v>
      </c>
      <c r="C87" s="6" t="s">
        <v>313</v>
      </c>
      <c r="D87" s="7">
        <v>10000</v>
      </c>
      <c r="E87" s="8" t="s">
        <v>314</v>
      </c>
      <c r="F87" s="8" t="s">
        <v>212</v>
      </c>
      <c r="G87" s="8" t="s">
        <v>14</v>
      </c>
      <c r="H87" s="9"/>
    </row>
    <row r="88" spans="1:8" x14ac:dyDescent="0.25">
      <c r="A88" s="6" t="s">
        <v>315</v>
      </c>
      <c r="B88" s="6" t="s">
        <v>316</v>
      </c>
      <c r="C88" s="6" t="s">
        <v>313</v>
      </c>
      <c r="D88" s="7">
        <v>18040</v>
      </c>
      <c r="E88" s="8" t="s">
        <v>317</v>
      </c>
      <c r="F88" s="8" t="s">
        <v>212</v>
      </c>
      <c r="G88" s="8" t="s">
        <v>96</v>
      </c>
      <c r="H88" s="9"/>
    </row>
    <row r="89" spans="1:8" x14ac:dyDescent="0.25">
      <c r="A89" s="6" t="s">
        <v>318</v>
      </c>
      <c r="B89" s="6" t="s">
        <v>319</v>
      </c>
      <c r="C89" s="6" t="s">
        <v>320</v>
      </c>
      <c r="D89" s="14">
        <v>29.26</v>
      </c>
      <c r="E89" s="8" t="s">
        <v>321</v>
      </c>
      <c r="F89" s="8" t="s">
        <v>41</v>
      </c>
      <c r="G89" s="8" t="s">
        <v>14</v>
      </c>
      <c r="H89" s="9"/>
    </row>
    <row r="90" spans="1:8" x14ac:dyDescent="0.25">
      <c r="A90" s="6" t="s">
        <v>322</v>
      </c>
      <c r="B90" s="6" t="s">
        <v>323</v>
      </c>
      <c r="C90" s="6" t="s">
        <v>324</v>
      </c>
      <c r="D90" s="7">
        <v>300000</v>
      </c>
      <c r="E90" s="8" t="s">
        <v>325</v>
      </c>
      <c r="F90" s="8" t="s">
        <v>326</v>
      </c>
      <c r="G90" s="8" t="s">
        <v>14</v>
      </c>
      <c r="H90" s="9"/>
    </row>
    <row r="91" spans="1:8" x14ac:dyDescent="0.25">
      <c r="A91" s="6" t="s">
        <v>327</v>
      </c>
      <c r="B91" s="6" t="s">
        <v>328</v>
      </c>
      <c r="C91" s="6" t="s">
        <v>329</v>
      </c>
      <c r="D91" s="14">
        <v>35.04</v>
      </c>
      <c r="E91" s="8" t="s">
        <v>330</v>
      </c>
      <c r="F91" s="8" t="s">
        <v>326</v>
      </c>
      <c r="G91" s="8" t="s">
        <v>14</v>
      </c>
      <c r="H91" s="9"/>
    </row>
    <row r="92" spans="1:8" x14ac:dyDescent="0.25">
      <c r="A92" s="6" t="s">
        <v>331</v>
      </c>
      <c r="B92" s="6" t="s">
        <v>332</v>
      </c>
      <c r="C92" s="6" t="s">
        <v>200</v>
      </c>
      <c r="D92" s="12">
        <v>105</v>
      </c>
      <c r="E92" s="8" t="s">
        <v>333</v>
      </c>
      <c r="F92" s="8"/>
      <c r="G92" s="8" t="s">
        <v>42</v>
      </c>
      <c r="H92" s="9"/>
    </row>
    <row r="93" spans="1:8" ht="24.75" customHeight="1" x14ac:dyDescent="0.25">
      <c r="A93" s="6" t="s">
        <v>334</v>
      </c>
      <c r="B93" s="6" t="s">
        <v>335</v>
      </c>
      <c r="C93" s="6" t="s">
        <v>46</v>
      </c>
      <c r="D93" s="11">
        <v>0.5</v>
      </c>
      <c r="E93" s="8" t="s">
        <v>336</v>
      </c>
      <c r="F93" s="8" t="s">
        <v>104</v>
      </c>
      <c r="G93" s="8" t="s">
        <v>14</v>
      </c>
      <c r="H93" s="9" t="s">
        <v>337</v>
      </c>
    </row>
    <row r="94" spans="1:8" x14ac:dyDescent="0.25">
      <c r="A94" s="2" t="s">
        <v>338</v>
      </c>
    </row>
    <row r="95" spans="1:8" x14ac:dyDescent="0.25">
      <c r="A95" s="6" t="s">
        <v>339</v>
      </c>
      <c r="B95" s="6" t="s">
        <v>340</v>
      </c>
      <c r="C95" s="6" t="s">
        <v>46</v>
      </c>
      <c r="D95" s="17">
        <f>Inputs!$D$13</f>
        <v>0.64724660814046298</v>
      </c>
      <c r="E95" s="8" t="s">
        <v>341</v>
      </c>
      <c r="F95" s="8"/>
      <c r="G95" s="8" t="s">
        <v>280</v>
      </c>
      <c r="H95" s="9"/>
    </row>
    <row r="96" spans="1:8" x14ac:dyDescent="0.25">
      <c r="A96" s="6" t="s">
        <v>342</v>
      </c>
      <c r="B96" s="6" t="s">
        <v>343</v>
      </c>
      <c r="C96" s="6" t="s">
        <v>112</v>
      </c>
      <c r="D96" s="15">
        <f>Inputs!$D$33</f>
        <v>9.6</v>
      </c>
      <c r="E96" s="8" t="s">
        <v>344</v>
      </c>
      <c r="F96" s="8"/>
      <c r="G96" s="8" t="s">
        <v>280</v>
      </c>
      <c r="H96" s="9"/>
    </row>
    <row r="97" spans="1:8" x14ac:dyDescent="0.25">
      <c r="A97" s="6" t="s">
        <v>345</v>
      </c>
      <c r="B97" s="6" t="s">
        <v>346</v>
      </c>
      <c r="C97" s="6" t="s">
        <v>46</v>
      </c>
      <c r="D97" s="13">
        <v>1</v>
      </c>
      <c r="E97" s="8" t="s">
        <v>347</v>
      </c>
      <c r="F97" s="8"/>
      <c r="G97" s="8" t="s">
        <v>42</v>
      </c>
      <c r="H97" s="9"/>
    </row>
    <row r="98" spans="1:8" x14ac:dyDescent="0.25">
      <c r="A98" s="6" t="s">
        <v>348</v>
      </c>
      <c r="B98" s="6" t="s">
        <v>349</v>
      </c>
      <c r="C98" s="6" t="s">
        <v>46</v>
      </c>
      <c r="D98" s="10">
        <v>0.5</v>
      </c>
      <c r="E98" s="8" t="s">
        <v>350</v>
      </c>
      <c r="F98" s="8"/>
      <c r="G98" s="8" t="s">
        <v>42</v>
      </c>
      <c r="H98" s="9"/>
    </row>
    <row r="99" spans="1:8" x14ac:dyDescent="0.25">
      <c r="A99" s="6" t="s">
        <v>351</v>
      </c>
      <c r="B99" s="6" t="s">
        <v>352</v>
      </c>
      <c r="C99" s="6" t="s">
        <v>353</v>
      </c>
      <c r="D99" s="13">
        <v>6</v>
      </c>
      <c r="E99" s="8" t="s">
        <v>354</v>
      </c>
      <c r="F99" s="8"/>
      <c r="G99" s="8" t="s">
        <v>42</v>
      </c>
      <c r="H99" s="9"/>
    </row>
    <row r="100" spans="1:8" x14ac:dyDescent="0.25">
      <c r="A100" s="6" t="s">
        <v>355</v>
      </c>
      <c r="B100" s="6" t="s">
        <v>356</v>
      </c>
      <c r="C100" s="6" t="s">
        <v>357</v>
      </c>
      <c r="D100" s="13">
        <v>0</v>
      </c>
      <c r="E100" s="8" t="s">
        <v>358</v>
      </c>
      <c r="F100" s="8"/>
      <c r="G100" s="8" t="s">
        <v>42</v>
      </c>
      <c r="H100" s="9"/>
    </row>
    <row r="102" spans="1:8" x14ac:dyDescent="0.25">
      <c r="A102" s="2" t="s">
        <v>359</v>
      </c>
      <c r="B102" s="8"/>
    </row>
    <row r="103" spans="1:8" x14ac:dyDescent="0.25">
      <c r="A103" s="6" t="s">
        <v>360</v>
      </c>
      <c r="B103" s="6" t="s">
        <v>361</v>
      </c>
      <c r="C103" s="6" t="s">
        <v>11</v>
      </c>
      <c r="D103" s="7">
        <v>2000</v>
      </c>
      <c r="E103" s="8" t="s">
        <v>362</v>
      </c>
      <c r="F103" s="8" t="s">
        <v>63</v>
      </c>
      <c r="G103" s="8" t="s">
        <v>14</v>
      </c>
      <c r="H103" s="9" t="s">
        <v>363</v>
      </c>
    </row>
    <row r="104" spans="1:8" x14ac:dyDescent="0.25">
      <c r="A104" s="6" t="s">
        <v>364</v>
      </c>
      <c r="B104" s="6" t="s">
        <v>365</v>
      </c>
      <c r="C104" s="6" t="s">
        <v>11</v>
      </c>
      <c r="D104" s="12">
        <v>600</v>
      </c>
      <c r="E104" s="8" t="s">
        <v>366</v>
      </c>
      <c r="F104" s="8"/>
      <c r="G104" s="8" t="s">
        <v>42</v>
      </c>
      <c r="H104" s="9" t="s">
        <v>367</v>
      </c>
    </row>
    <row r="105" spans="1:8" x14ac:dyDescent="0.25">
      <c r="A105" s="6" t="s">
        <v>368</v>
      </c>
      <c r="B105" s="6" t="s">
        <v>369</v>
      </c>
      <c r="C105" s="6" t="s">
        <v>46</v>
      </c>
      <c r="D105" s="36">
        <v>0.72</v>
      </c>
      <c r="E105" s="8" t="s">
        <v>370</v>
      </c>
      <c r="F105" s="8" t="s">
        <v>77</v>
      </c>
      <c r="G105" s="8" t="s">
        <v>371</v>
      </c>
      <c r="H105" s="9" t="s">
        <v>372</v>
      </c>
    </row>
    <row r="106" spans="1:8" ht="24.75" x14ac:dyDescent="0.25">
      <c r="A106" s="6" t="s">
        <v>373</v>
      </c>
      <c r="B106" s="6" t="s">
        <v>374</v>
      </c>
      <c r="C106" s="6" t="s">
        <v>46</v>
      </c>
      <c r="D106" s="36">
        <v>0.52</v>
      </c>
      <c r="E106" s="8" t="s">
        <v>330</v>
      </c>
      <c r="F106" s="8" t="s">
        <v>77</v>
      </c>
      <c r="G106" s="8" t="s">
        <v>371</v>
      </c>
      <c r="H106" s="9" t="s">
        <v>375</v>
      </c>
    </row>
    <row r="107" spans="1:8" ht="48.75" x14ac:dyDescent="0.25">
      <c r="A107" s="6" t="s">
        <v>376</v>
      </c>
      <c r="B107" s="6" t="s">
        <v>377</v>
      </c>
      <c r="C107" s="6" t="s">
        <v>46</v>
      </c>
      <c r="D107" s="36">
        <v>0.12</v>
      </c>
      <c r="E107" s="8" t="s">
        <v>330</v>
      </c>
      <c r="F107" s="8" t="s">
        <v>77</v>
      </c>
      <c r="G107" s="8" t="s">
        <v>371</v>
      </c>
      <c r="H107" s="9" t="s">
        <v>378</v>
      </c>
    </row>
    <row r="108" spans="1:8" x14ac:dyDescent="0.25">
      <c r="A108" s="6" t="s">
        <v>379</v>
      </c>
      <c r="B108" s="6" t="s">
        <v>380</v>
      </c>
      <c r="C108" s="6" t="s">
        <v>46</v>
      </c>
      <c r="D108" s="36">
        <v>0.08</v>
      </c>
      <c r="E108" s="8" t="s">
        <v>330</v>
      </c>
      <c r="F108" s="8" t="s">
        <v>77</v>
      </c>
      <c r="G108" s="8" t="s">
        <v>371</v>
      </c>
      <c r="H108" s="9" t="s">
        <v>381</v>
      </c>
    </row>
    <row r="109" spans="1:8" x14ac:dyDescent="0.25">
      <c r="A109" s="6" t="s">
        <v>382</v>
      </c>
      <c r="B109" s="6" t="s">
        <v>383</v>
      </c>
      <c r="C109" s="6" t="s">
        <v>46</v>
      </c>
      <c r="D109" s="37">
        <v>0</v>
      </c>
      <c r="E109" s="8" t="s">
        <v>384</v>
      </c>
      <c r="F109" s="8"/>
      <c r="G109" s="8" t="s">
        <v>42</v>
      </c>
      <c r="H109" s="9"/>
    </row>
    <row r="110" spans="1:8" x14ac:dyDescent="0.25">
      <c r="A110" s="6" t="s">
        <v>385</v>
      </c>
      <c r="B110" s="6" t="s">
        <v>386</v>
      </c>
      <c r="C110" s="6" t="s">
        <v>46</v>
      </c>
      <c r="D110" s="11">
        <v>0.125</v>
      </c>
      <c r="E110" s="8" t="s">
        <v>387</v>
      </c>
      <c r="F110" s="8" t="s">
        <v>77</v>
      </c>
      <c r="G110" s="8" t="s">
        <v>371</v>
      </c>
      <c r="H110" s="9" t="s">
        <v>388</v>
      </c>
    </row>
    <row r="111" spans="1:8" x14ac:dyDescent="0.25">
      <c r="A111" s="6" t="s">
        <v>389</v>
      </c>
      <c r="B111" s="6" t="s">
        <v>390</v>
      </c>
      <c r="C111" s="6" t="s">
        <v>112</v>
      </c>
      <c r="D111" s="25">
        <f>Inputs!$D$110*Scenarios!$C$13+Inputs!$D$39</f>
        <v>13</v>
      </c>
      <c r="E111" s="8" t="s">
        <v>391</v>
      </c>
      <c r="F111" s="8"/>
      <c r="G111" s="8" t="s">
        <v>48</v>
      </c>
      <c r="H111" s="9" t="s">
        <v>392</v>
      </c>
    </row>
    <row r="112" spans="1:8" ht="24.75" x14ac:dyDescent="0.25">
      <c r="A112" s="6" t="s">
        <v>393</v>
      </c>
      <c r="B112" s="6" t="s">
        <v>394</v>
      </c>
      <c r="C112" s="6" t="s">
        <v>395</v>
      </c>
      <c r="D112" s="7">
        <v>390</v>
      </c>
      <c r="E112" s="8" t="s">
        <v>396</v>
      </c>
      <c r="F112" s="8" t="s">
        <v>397</v>
      </c>
      <c r="G112" s="8" t="s">
        <v>96</v>
      </c>
      <c r="H112" s="9" t="s">
        <v>398</v>
      </c>
    </row>
    <row r="113" spans="1:8" ht="24.75" x14ac:dyDescent="0.25">
      <c r="A113" s="6" t="s">
        <v>399</v>
      </c>
      <c r="B113" s="6" t="s">
        <v>400</v>
      </c>
      <c r="C113" s="6" t="s">
        <v>11</v>
      </c>
      <c r="D113" s="7">
        <v>31</v>
      </c>
      <c r="E113" s="8" t="s">
        <v>401</v>
      </c>
      <c r="F113" s="8" t="s">
        <v>41</v>
      </c>
      <c r="G113" s="8" t="s">
        <v>402</v>
      </c>
      <c r="H113" s="9" t="s">
        <v>403</v>
      </c>
    </row>
    <row r="114" spans="1:8" x14ac:dyDescent="0.25">
      <c r="A114" s="6" t="s">
        <v>404</v>
      </c>
      <c r="B114" s="6" t="s">
        <v>405</v>
      </c>
      <c r="C114" s="6" t="s">
        <v>46</v>
      </c>
      <c r="D114" s="37">
        <v>1</v>
      </c>
      <c r="E114" s="8" t="s">
        <v>406</v>
      </c>
      <c r="F114" s="8"/>
      <c r="G114" s="8" t="s">
        <v>42</v>
      </c>
      <c r="H114" s="9" t="s">
        <v>407</v>
      </c>
    </row>
    <row r="115" spans="1:8" x14ac:dyDescent="0.25">
      <c r="A115" s="6" t="s">
        <v>408</v>
      </c>
      <c r="B115" s="6" t="s">
        <v>409</v>
      </c>
      <c r="C115" s="6" t="s">
        <v>357</v>
      </c>
      <c r="D115" s="38">
        <v>0</v>
      </c>
      <c r="E115" s="8" t="s">
        <v>410</v>
      </c>
      <c r="F115" s="8" t="s">
        <v>195</v>
      </c>
      <c r="G115" s="8" t="s">
        <v>42</v>
      </c>
      <c r="H115" s="9" t="s">
        <v>411</v>
      </c>
    </row>
    <row r="116" spans="1:8" x14ac:dyDescent="0.25">
      <c r="A116" s="6" t="s">
        <v>412</v>
      </c>
      <c r="B116" s="6" t="s">
        <v>413</v>
      </c>
      <c r="C116" s="6" t="s">
        <v>11</v>
      </c>
      <c r="D116" s="12">
        <v>1000</v>
      </c>
      <c r="E116" s="8" t="s">
        <v>414</v>
      </c>
      <c r="F116" s="8" t="s">
        <v>195</v>
      </c>
      <c r="G116" s="8" t="s">
        <v>42</v>
      </c>
      <c r="H116" s="9"/>
    </row>
    <row r="118" spans="1:8" x14ac:dyDescent="0.25">
      <c r="B118" s="8" t="s">
        <v>415</v>
      </c>
    </row>
    <row r="119" spans="1:8" x14ac:dyDescent="0.25">
      <c r="B119" s="8" t="s">
        <v>416</v>
      </c>
    </row>
  </sheetData>
  <pageMargins left="0.75" right="0.75" top="1" bottom="1" header="0.511811023622047" footer="0.511811023622047"/>
  <pageSetup paperSize="9"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D15"/>
  <sheetViews>
    <sheetView showGridLines="0" zoomScaleNormal="100" workbookViewId="0">
      <selection activeCell="C12" sqref="C12"/>
    </sheetView>
  </sheetViews>
  <sheetFormatPr defaultColWidth="8.7109375" defaultRowHeight="15" x14ac:dyDescent="0.25"/>
  <cols>
    <col min="1" max="1" width="3" customWidth="1"/>
    <col min="2" max="2" width="44" customWidth="1"/>
    <col min="3" max="3" width="16" customWidth="1"/>
    <col min="4" max="4" width="70" customWidth="1"/>
  </cols>
  <sheetData>
    <row r="2" spans="2:4" x14ac:dyDescent="0.25">
      <c r="B2" s="2" t="s">
        <v>437</v>
      </c>
    </row>
    <row r="4" spans="2:4" x14ac:dyDescent="0.25">
      <c r="B4" s="6" t="s">
        <v>438</v>
      </c>
      <c r="C4" s="18" t="s">
        <v>439</v>
      </c>
      <c r="D4" s="8" t="s">
        <v>440</v>
      </c>
    </row>
    <row r="5" spans="2:4" x14ac:dyDescent="0.25">
      <c r="B5" s="6" t="s">
        <v>441</v>
      </c>
      <c r="C5" s="18" t="s">
        <v>442</v>
      </c>
      <c r="D5" s="8" t="s">
        <v>443</v>
      </c>
    </row>
    <row r="6" spans="2:4" x14ac:dyDescent="0.25">
      <c r="B6" s="6" t="s">
        <v>444</v>
      </c>
      <c r="C6" s="18" t="s">
        <v>445</v>
      </c>
      <c r="D6" s="8" t="s">
        <v>446</v>
      </c>
    </row>
    <row r="7" spans="2:4" x14ac:dyDescent="0.25">
      <c r="B7" s="6" t="s">
        <v>447</v>
      </c>
      <c r="C7" s="19">
        <f>Inputs!$D$58</f>
        <v>17449</v>
      </c>
      <c r="D7" s="8" t="s">
        <v>448</v>
      </c>
    </row>
    <row r="8" spans="2:4" x14ac:dyDescent="0.25">
      <c r="B8" s="6"/>
      <c r="D8" s="8"/>
    </row>
    <row r="9" spans="2:4" x14ac:dyDescent="0.25">
      <c r="B9" s="6" t="s">
        <v>449</v>
      </c>
      <c r="D9" s="8"/>
    </row>
    <row r="10" spans="2:4" x14ac:dyDescent="0.25">
      <c r="B10" s="6" t="s">
        <v>450</v>
      </c>
      <c r="C10" s="15">
        <f>IF(C4="Corrected",1,0)</f>
        <v>0</v>
      </c>
      <c r="D10" s="8"/>
    </row>
    <row r="11" spans="2:4" x14ac:dyDescent="0.25">
      <c r="B11" s="6" t="s">
        <v>451</v>
      </c>
      <c r="C11" s="15">
        <f>IF(C5="Actual",Inputs!$D$37,VALUE(SUBSTITUTE(C5,"$","")))</f>
        <v>15</v>
      </c>
      <c r="D11" s="8"/>
    </row>
    <row r="12" spans="2:4" x14ac:dyDescent="0.25">
      <c r="B12" s="6" t="s">
        <v>452</v>
      </c>
      <c r="C12" s="15">
        <f>C11+Inputs!$D$39</f>
        <v>16.75</v>
      </c>
      <c r="D12" s="8"/>
    </row>
    <row r="13" spans="2:4" x14ac:dyDescent="0.25">
      <c r="B13" s="6" t="s">
        <v>453</v>
      </c>
      <c r="C13" s="15">
        <f>VALUE(SUBSTITUTE(C6,"$",""))</f>
        <v>90</v>
      </c>
      <c r="D13" s="8"/>
    </row>
    <row r="15" spans="2:4" x14ac:dyDescent="0.25">
      <c r="B15" s="8" t="s">
        <v>454</v>
      </c>
    </row>
  </sheetData>
  <pageMargins left="0.75" right="0.75" top="1" bottom="1" header="0.511811023622047" footer="0.511811023622047"/>
  <pageSetup paperSize="9"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I37"/>
  <sheetViews>
    <sheetView showGridLines="0" zoomScaleNormal="100" workbookViewId="0">
      <selection activeCell="E7" sqref="E7"/>
    </sheetView>
  </sheetViews>
  <sheetFormatPr defaultColWidth="8.7109375" defaultRowHeight="15" x14ac:dyDescent="0.25"/>
  <cols>
    <col min="1" max="1" width="3" customWidth="1"/>
    <col min="2" max="2" width="58" customWidth="1"/>
    <col min="3" max="8" width="12" customWidth="1"/>
    <col min="9" max="9" width="60" customWidth="1"/>
  </cols>
  <sheetData>
    <row r="2" spans="2:9" x14ac:dyDescent="0.25">
      <c r="B2" s="2" t="s">
        <v>455</v>
      </c>
    </row>
    <row r="4" spans="2:9" x14ac:dyDescent="0.25">
      <c r="B4" s="3" t="s">
        <v>11</v>
      </c>
      <c r="C4" s="20" t="s">
        <v>13</v>
      </c>
      <c r="D4" s="20" t="s">
        <v>326</v>
      </c>
      <c r="E4" s="20" t="s">
        <v>456</v>
      </c>
      <c r="F4" s="20" t="s">
        <v>457</v>
      </c>
      <c r="G4" s="20" t="s">
        <v>458</v>
      </c>
      <c r="H4" s="20" t="s">
        <v>459</v>
      </c>
      <c r="I4" s="3" t="s">
        <v>460</v>
      </c>
    </row>
    <row r="5" spans="2:9" x14ac:dyDescent="0.25">
      <c r="B5" s="2" t="s">
        <v>461</v>
      </c>
      <c r="I5" s="8"/>
    </row>
    <row r="6" spans="2:9" x14ac:dyDescent="0.25">
      <c r="B6" s="6" t="s">
        <v>462</v>
      </c>
      <c r="C6" s="16">
        <f>(Inputs!$D$3+Inputs!$D$7-(Inputs!$D$50-Inputs!$D$5))*(1+Inputs!$D$12)^0</f>
        <v>1146.6278082191739</v>
      </c>
      <c r="D6" s="16">
        <f>(Inputs!$D$3+Inputs!$D$7-(Inputs!$D$50-Inputs!$D$5))*(1+Inputs!$D$12)^1</f>
        <v>1181.0266424657491</v>
      </c>
      <c r="E6" s="16">
        <f>(Inputs!$D$3+Inputs!$D$7-(Inputs!$D$50-Inputs!$D$5))*(1+Inputs!$D$12)^2</f>
        <v>1216.4574417397214</v>
      </c>
      <c r="F6" s="16">
        <f>(Inputs!$D$3+Inputs!$D$7-(Inputs!$D$50-Inputs!$D$5))*(1+Inputs!$D$12)^3</f>
        <v>1252.9511649919132</v>
      </c>
      <c r="G6" s="16">
        <f>(Inputs!$D$3+Inputs!$D$7-(Inputs!$D$50-Inputs!$D$5))*(1+Inputs!$D$12)^4</f>
        <v>1290.5396999416705</v>
      </c>
      <c r="H6" s="16">
        <f>(Inputs!$D$3+Inputs!$D$7-(Inputs!$D$50-Inputs!$D$5))*(1+Inputs!$D$12)^5</f>
        <v>1329.2558909399206</v>
      </c>
      <c r="I6" s="8" t="s">
        <v>463</v>
      </c>
    </row>
    <row r="7" spans="2:9" x14ac:dyDescent="0.25">
      <c r="B7" s="6" t="s">
        <v>17</v>
      </c>
      <c r="C7" s="16">
        <f>Inputs!$D$4*(1+Inputs!$D$12)^0</f>
        <v>662.671232876712</v>
      </c>
      <c r="D7" s="16">
        <f>Inputs!$D$4*(1+Inputs!$D$12)^1</f>
        <v>682.55136986301341</v>
      </c>
      <c r="E7" s="16">
        <f>Inputs!$D$4*(1+Inputs!$D$12)^2</f>
        <v>703.0279109589037</v>
      </c>
      <c r="F7" s="16">
        <f>Inputs!$D$4*(1+Inputs!$D$12)^3</f>
        <v>724.11874828767088</v>
      </c>
      <c r="G7" s="16">
        <f>Inputs!$D$4*(1+Inputs!$D$12)^4</f>
        <v>745.84231073630099</v>
      </c>
      <c r="H7" s="16">
        <f>Inputs!$D$4*(1+Inputs!$D$12)^5</f>
        <v>768.2175800583899</v>
      </c>
      <c r="I7" s="8" t="s">
        <v>464</v>
      </c>
    </row>
    <row r="8" spans="2:9" x14ac:dyDescent="0.25">
      <c r="B8" s="6" t="s">
        <v>465</v>
      </c>
      <c r="C8" s="16">
        <f>Inputs!$D$50*(1+Inputs!$D$12)^0</f>
        <v>1317.82150684932</v>
      </c>
      <c r="D8" s="16">
        <f>Inputs!$D$50*(1+Inputs!$D$12)^1</f>
        <v>1357.3561520547996</v>
      </c>
      <c r="E8" s="16">
        <f>Inputs!$D$50*(1+Inputs!$D$12)^2</f>
        <v>1398.0768366164436</v>
      </c>
      <c r="F8" s="16">
        <f>Inputs!$D$50*(1+Inputs!$D$12)^3</f>
        <v>1440.0191417149369</v>
      </c>
      <c r="G8" s="16">
        <f>Inputs!$D$50*(1+Inputs!$D$12)^4</f>
        <v>1483.2197159663849</v>
      </c>
      <c r="H8" s="16">
        <f>Inputs!$D$50*(1+Inputs!$D$12)^5</f>
        <v>1527.7163074453763</v>
      </c>
      <c r="I8" s="8" t="s">
        <v>466</v>
      </c>
    </row>
    <row r="9" spans="2:9" x14ac:dyDescent="0.25">
      <c r="B9" s="6" t="s">
        <v>467</v>
      </c>
      <c r="C9" s="16">
        <f>(Inputs!$D$6+Inputs!$D$8)*(1+Inputs!$D$12)^0</f>
        <v>553.84383561643801</v>
      </c>
      <c r="D9" s="16">
        <f>(Inputs!$D$6+Inputs!$D$8)*(1+Inputs!$D$12)^1</f>
        <v>570.45915068493116</v>
      </c>
      <c r="E9" s="16">
        <f>(Inputs!$D$6+Inputs!$D$8)*(1+Inputs!$D$12)^2</f>
        <v>587.57292520547901</v>
      </c>
      <c r="F9" s="16">
        <f>(Inputs!$D$6+Inputs!$D$8)*(1+Inputs!$D$12)^3</f>
        <v>605.20011296164341</v>
      </c>
      <c r="G9" s="16">
        <f>(Inputs!$D$6+Inputs!$D$8)*(1+Inputs!$D$12)^4</f>
        <v>623.3561163504927</v>
      </c>
      <c r="H9" s="16">
        <f>(Inputs!$D$6+Inputs!$D$8)*(1+Inputs!$D$12)^5</f>
        <v>642.05679984100743</v>
      </c>
      <c r="I9" s="8" t="s">
        <v>464</v>
      </c>
    </row>
    <row r="10" spans="2:9" x14ac:dyDescent="0.25">
      <c r="B10" s="6" t="s">
        <v>468</v>
      </c>
      <c r="C10" s="16">
        <f>Inputs!$D$9</f>
        <v>201.95890410958901</v>
      </c>
      <c r="D10" s="16">
        <f>Inputs!$D$9</f>
        <v>201.95890410958901</v>
      </c>
      <c r="E10" s="16">
        <f>Inputs!$D$9</f>
        <v>201.95890410958901</v>
      </c>
      <c r="F10" s="16">
        <f>Inputs!$D$9</f>
        <v>201.95890410958901</v>
      </c>
      <c r="G10" s="16">
        <f>Inputs!$D$9</f>
        <v>201.95890410958901</v>
      </c>
      <c r="H10" s="16">
        <f>Inputs!$D$9</f>
        <v>201.95890410958901</v>
      </c>
      <c r="I10" s="8" t="s">
        <v>469</v>
      </c>
    </row>
    <row r="11" spans="2:9" x14ac:dyDescent="0.25">
      <c r="B11" s="6" t="s">
        <v>470</v>
      </c>
      <c r="C11" s="21">
        <f t="shared" ref="C11:H11" si="0">SUM(C6:C10)</f>
        <v>3882.9232876712331</v>
      </c>
      <c r="D11" s="21">
        <f t="shared" si="0"/>
        <v>3993.3522191780826</v>
      </c>
      <c r="E11" s="21">
        <f t="shared" si="0"/>
        <v>4107.0940186301368</v>
      </c>
      <c r="F11" s="21">
        <f t="shared" si="0"/>
        <v>4224.2480720657531</v>
      </c>
      <c r="G11" s="21">
        <f t="shared" si="0"/>
        <v>4344.9167471044375</v>
      </c>
      <c r="H11" s="21">
        <f t="shared" si="0"/>
        <v>4469.2054823942826</v>
      </c>
      <c r="I11" s="8"/>
    </row>
    <row r="12" spans="2:9" x14ac:dyDescent="0.25">
      <c r="B12" s="2" t="s">
        <v>471</v>
      </c>
      <c r="I12" s="8"/>
    </row>
    <row r="13" spans="2:9" x14ac:dyDescent="0.25">
      <c r="B13" s="6" t="s">
        <v>472</v>
      </c>
      <c r="C13" s="16">
        <f>Inputs!$D$15*(1+Inputs!$D$16)^0</f>
        <v>5837.5205479452097</v>
      </c>
      <c r="D13" s="16">
        <f>Inputs!$D$15*(1+Inputs!$D$16)^1</f>
        <v>5697.4200547945247</v>
      </c>
      <c r="E13" s="16">
        <f>Inputs!$D$15*(1+Inputs!$D$16)^2</f>
        <v>5560.6819734794562</v>
      </c>
      <c r="F13" s="16">
        <f>Inputs!$D$15*(1+Inputs!$D$16)^3</f>
        <v>5427.2256061159487</v>
      </c>
      <c r="G13" s="16">
        <f>Inputs!$D$15*(1+Inputs!$D$16)^4</f>
        <v>5296.9721915691662</v>
      </c>
      <c r="H13" s="16">
        <f>Inputs!$D$15*(1+Inputs!$D$16)^5</f>
        <v>5169.8448589715063</v>
      </c>
      <c r="I13" s="8" t="s">
        <v>473</v>
      </c>
    </row>
    <row r="14" spans="2:9" x14ac:dyDescent="0.25">
      <c r="B14" s="6" t="s">
        <v>474</v>
      </c>
      <c r="C14" s="16">
        <f>0</f>
        <v>0</v>
      </c>
      <c r="D14" s="16">
        <f>0</f>
        <v>0</v>
      </c>
      <c r="E14" s="16">
        <f>0</f>
        <v>0</v>
      </c>
      <c r="F14" s="16">
        <f>Inputs!$D$18</f>
        <v>300</v>
      </c>
      <c r="G14" s="16">
        <f>Inputs!$D$19</f>
        <v>1400</v>
      </c>
      <c r="H14" s="16">
        <f>Inputs!$D$20</f>
        <v>1400</v>
      </c>
      <c r="I14" s="8" t="s">
        <v>475</v>
      </c>
    </row>
    <row r="15" spans="2:9" x14ac:dyDescent="0.25">
      <c r="B15" s="6" t="s">
        <v>476</v>
      </c>
      <c r="C15" s="21">
        <f t="shared" ref="C15:H15" si="1">SUM(C13:C14)</f>
        <v>5837.5205479452097</v>
      </c>
      <c r="D15" s="21">
        <f t="shared" si="1"/>
        <v>5697.4200547945247</v>
      </c>
      <c r="E15" s="21">
        <f t="shared" si="1"/>
        <v>5560.6819734794562</v>
      </c>
      <c r="F15" s="21">
        <f t="shared" si="1"/>
        <v>5727.2256061159487</v>
      </c>
      <c r="G15" s="21">
        <f t="shared" si="1"/>
        <v>6696.9721915691662</v>
      </c>
      <c r="H15" s="21">
        <f t="shared" si="1"/>
        <v>6569.8448589715063</v>
      </c>
      <c r="I15" s="8"/>
    </row>
    <row r="16" spans="2:9" x14ac:dyDescent="0.25">
      <c r="B16" s="2" t="s">
        <v>477</v>
      </c>
      <c r="I16" s="8"/>
    </row>
    <row r="17" spans="2:9" x14ac:dyDescent="0.25">
      <c r="B17" s="6" t="s">
        <v>478</v>
      </c>
      <c r="C17" s="16">
        <f>Inputs!$D$10+Inputs!$D$11</f>
        <v>1954.597260273971</v>
      </c>
      <c r="D17" s="16">
        <f>Inputs!$D$22*(1+Inputs!$D$23)^0-Inputs!$D$113*69/365</f>
        <v>1894.1397260273973</v>
      </c>
      <c r="E17" s="16">
        <f>Inputs!$D$22*(1+Inputs!$D$23)^1-Inputs!$D$113*Inputs!$D$114</f>
        <v>1812</v>
      </c>
      <c r="F17" s="16">
        <f>Inputs!$D$22*(1+Inputs!$D$23)^2-Inputs!$D$113*Inputs!$D$114</f>
        <v>1756.7099999999998</v>
      </c>
      <c r="G17" s="16">
        <f>Inputs!$D$22*(1+Inputs!$D$23)^3-Inputs!$D$113*Inputs!$D$114</f>
        <v>1703.0787</v>
      </c>
      <c r="H17" s="16">
        <f>Inputs!$D$22*(1+Inputs!$D$23)^4-Inputs!$D$113*Inputs!$D$114</f>
        <v>1651.056339</v>
      </c>
      <c r="I17" s="8" t="s">
        <v>479</v>
      </c>
    </row>
    <row r="18" spans="2:9" x14ac:dyDescent="0.25">
      <c r="B18" s="6" t="s">
        <v>480</v>
      </c>
      <c r="C18" s="16">
        <f>C14*Inputs!$D$21</f>
        <v>0</v>
      </c>
      <c r="D18" s="16">
        <f>D14*Inputs!$D$21</f>
        <v>0</v>
      </c>
      <c r="E18" s="16">
        <f>E14*Inputs!$D$21</f>
        <v>0</v>
      </c>
      <c r="F18" s="16">
        <f>F14*Inputs!$D$21</f>
        <v>84.000000000000014</v>
      </c>
      <c r="G18" s="16">
        <f>G14*Inputs!$D$21</f>
        <v>392.00000000000006</v>
      </c>
      <c r="H18" s="16">
        <f>H14*Inputs!$D$21</f>
        <v>392.00000000000006</v>
      </c>
      <c r="I18" s="8" t="s">
        <v>481</v>
      </c>
    </row>
    <row r="19" spans="2:9" x14ac:dyDescent="0.25">
      <c r="B19" s="6" t="s">
        <v>482</v>
      </c>
      <c r="C19" s="21">
        <f t="shared" ref="C19:H19" si="2">SUM(C17:C18)</f>
        <v>1954.597260273971</v>
      </c>
      <c r="D19" s="21">
        <f t="shared" si="2"/>
        <v>1894.1397260273973</v>
      </c>
      <c r="E19" s="21">
        <f t="shared" si="2"/>
        <v>1812</v>
      </c>
      <c r="F19" s="21">
        <f t="shared" si="2"/>
        <v>1840.7099999999998</v>
      </c>
      <c r="G19" s="21">
        <f t="shared" si="2"/>
        <v>2095.0787</v>
      </c>
      <c r="H19" s="21">
        <f t="shared" si="2"/>
        <v>2043.056339</v>
      </c>
      <c r="I19" s="8"/>
    </row>
    <row r="20" spans="2:9" x14ac:dyDescent="0.25">
      <c r="B20" s="2" t="s">
        <v>483</v>
      </c>
      <c r="I20" s="8"/>
    </row>
    <row r="21" spans="2:9" x14ac:dyDescent="0.25">
      <c r="B21" s="6" t="s">
        <v>484</v>
      </c>
      <c r="C21" s="16">
        <f t="shared" ref="C21:H21" si="3">C15-C19</f>
        <v>3882.9232876712385</v>
      </c>
      <c r="D21" s="16">
        <f t="shared" si="3"/>
        <v>3803.2803287671277</v>
      </c>
      <c r="E21" s="16">
        <f t="shared" si="3"/>
        <v>3748.6819734794562</v>
      </c>
      <c r="F21" s="16">
        <f t="shared" si="3"/>
        <v>3886.5156061159487</v>
      </c>
      <c r="G21" s="16">
        <f t="shared" si="3"/>
        <v>4601.8934915691661</v>
      </c>
      <c r="H21" s="16">
        <f t="shared" si="3"/>
        <v>4526.7885199715065</v>
      </c>
      <c r="I21" s="8"/>
    </row>
    <row r="22" spans="2:9" x14ac:dyDescent="0.25">
      <c r="B22" s="6" t="s">
        <v>485</v>
      </c>
      <c r="C22" s="21">
        <f t="shared" ref="C22:H22" si="4">C11-C21</f>
        <v>-5.4569682106375694E-12</v>
      </c>
      <c r="D22" s="21">
        <f t="shared" si="4"/>
        <v>190.07189041095489</v>
      </c>
      <c r="E22" s="21">
        <f t="shared" si="4"/>
        <v>358.41204515068057</v>
      </c>
      <c r="F22" s="21">
        <f t="shared" si="4"/>
        <v>337.73246594980446</v>
      </c>
      <c r="G22" s="21">
        <f t="shared" si="4"/>
        <v>-256.97674446472865</v>
      </c>
      <c r="H22" s="21">
        <f t="shared" si="4"/>
        <v>-57.583037577223877</v>
      </c>
      <c r="I22" s="8" t="s">
        <v>486</v>
      </c>
    </row>
    <row r="23" spans="2:9" x14ac:dyDescent="0.25">
      <c r="B23" s="6" t="s">
        <v>487</v>
      </c>
      <c r="C23" s="16">
        <f>MAX(0,C22)*365/1000/Inputs!$D$25</f>
        <v>0</v>
      </c>
      <c r="D23" s="16">
        <f>MAX(0,D22)*365/1000/Inputs!$D$25</f>
        <v>21.023103030302586</v>
      </c>
      <c r="E23" s="16">
        <f>MAX(0,E22)*365/1000/Inputs!$D$25</f>
        <v>39.64254438787831</v>
      </c>
      <c r="F23" s="16">
        <f>MAX(0,F22)*365/1000/Inputs!$D$25</f>
        <v>37.355257597478378</v>
      </c>
      <c r="G23" s="16">
        <f>MAX(0,G22)*365/1000/Inputs!$D$25</f>
        <v>0</v>
      </c>
      <c r="H23" s="16">
        <f>MAX(0,H22)*365/1000/Inputs!$D$25</f>
        <v>0</v>
      </c>
      <c r="I23" s="8" t="s">
        <v>48</v>
      </c>
    </row>
    <row r="24" spans="2:9" x14ac:dyDescent="0.25">
      <c r="B24" s="6" t="s">
        <v>488</v>
      </c>
      <c r="C24" s="17">
        <f t="shared" ref="C24:H24" si="5">C19/C15</f>
        <v>0.33483346983026613</v>
      </c>
      <c r="D24" s="17">
        <f t="shared" si="5"/>
        <v>0.33245569184133267</v>
      </c>
      <c r="E24" s="17">
        <f t="shared" si="5"/>
        <v>0.32585931161716603</v>
      </c>
      <c r="F24" s="17">
        <f t="shared" si="5"/>
        <v>0.32139645381427889</v>
      </c>
      <c r="G24" s="17">
        <f t="shared" si="5"/>
        <v>0.31283968935058437</v>
      </c>
      <c r="H24" s="17">
        <f t="shared" si="5"/>
        <v>0.31097482251960445</v>
      </c>
      <c r="I24" s="8"/>
    </row>
    <row r="26" spans="2:9" x14ac:dyDescent="0.25">
      <c r="B26" s="8" t="s">
        <v>489</v>
      </c>
    </row>
    <row r="28" spans="2:9" x14ac:dyDescent="0.25">
      <c r="B28" s="2" t="s">
        <v>490</v>
      </c>
    </row>
    <row r="29" spans="2:9" x14ac:dyDescent="0.25">
      <c r="B29" s="6" t="s">
        <v>491</v>
      </c>
      <c r="C29" s="16">
        <f>C14*Inputs!$D$105*Inputs!$D$106</f>
        <v>0</v>
      </c>
      <c r="D29" s="16">
        <f>D14*Inputs!$D$105*Inputs!$D$106</f>
        <v>0</v>
      </c>
      <c r="E29" s="16">
        <f>E14*Inputs!$D$105*Inputs!$D$106</f>
        <v>0</v>
      </c>
      <c r="F29" s="16">
        <f>F14*Inputs!$D$105*Inputs!$D$106</f>
        <v>112.32000000000001</v>
      </c>
      <c r="G29" s="16">
        <f>G14*Inputs!$D$105*Inputs!$D$106</f>
        <v>524.16</v>
      </c>
      <c r="H29" s="16">
        <f>H14*Inputs!$D$105*Inputs!$D$106</f>
        <v>524.16</v>
      </c>
      <c r="I29" s="8" t="s">
        <v>373</v>
      </c>
    </row>
    <row r="30" spans="2:9" x14ac:dyDescent="0.25">
      <c r="B30" s="6" t="s">
        <v>492</v>
      </c>
      <c r="C30" s="16">
        <f>C14*Inputs!$D$105*(Inputs!$D$107+Inputs!$D$108*Inputs!$D$109)</f>
        <v>0</v>
      </c>
      <c r="D30" s="16">
        <f>D14*Inputs!$D$105*(Inputs!$D$107+Inputs!$D$108*Inputs!$D$109)</f>
        <v>0</v>
      </c>
      <c r="E30" s="16">
        <f>E14*Inputs!$D$105*(Inputs!$D$107+Inputs!$D$108*Inputs!$D$109)</f>
        <v>0</v>
      </c>
      <c r="F30" s="16">
        <f>F14*Inputs!$D$105*(Inputs!$D$107+Inputs!$D$108*Inputs!$D$109)</f>
        <v>25.919999999999998</v>
      </c>
      <c r="G30" s="16">
        <f>G14*Inputs!$D$105*(Inputs!$D$107+Inputs!$D$108*Inputs!$D$109)</f>
        <v>120.96</v>
      </c>
      <c r="H30" s="16">
        <f>H14*Inputs!$D$105*(Inputs!$D$107+Inputs!$D$108*Inputs!$D$109)</f>
        <v>120.96</v>
      </c>
      <c r="I30" s="8" t="s">
        <v>493</v>
      </c>
    </row>
    <row r="31" spans="2:9" x14ac:dyDescent="0.25">
      <c r="B31" s="6" t="s">
        <v>494</v>
      </c>
      <c r="C31" s="16">
        <f>C14*Inputs!$D$105*Inputs!$D$108*(1-Inputs!$D$109)</f>
        <v>0</v>
      </c>
      <c r="D31" s="16">
        <f>D14*Inputs!$D$105*Inputs!$D$108*(1-Inputs!$D$109)</f>
        <v>0</v>
      </c>
      <c r="E31" s="16">
        <f>E14*Inputs!$D$105*Inputs!$D$108*(1-Inputs!$D$109)</f>
        <v>0</v>
      </c>
      <c r="F31" s="16">
        <f>F14*Inputs!$D$105*Inputs!$D$108*(1-Inputs!$D$109)</f>
        <v>17.28</v>
      </c>
      <c r="G31" s="16">
        <f>G14*Inputs!$D$105*Inputs!$D$108*(1-Inputs!$D$109)</f>
        <v>80.64</v>
      </c>
      <c r="H31" s="16">
        <f>H14*Inputs!$D$105*Inputs!$D$108*(1-Inputs!$D$109)</f>
        <v>80.64</v>
      </c>
      <c r="I31" s="8" t="s">
        <v>379</v>
      </c>
    </row>
    <row r="32" spans="2:9" x14ac:dyDescent="0.25">
      <c r="B32" s="6" t="s">
        <v>495</v>
      </c>
      <c r="C32" s="16">
        <f t="shared" ref="C32:H32" si="6">C18</f>
        <v>0</v>
      </c>
      <c r="D32" s="16">
        <f t="shared" si="6"/>
        <v>0</v>
      </c>
      <c r="E32" s="16">
        <f t="shared" si="6"/>
        <v>0</v>
      </c>
      <c r="F32" s="16">
        <f t="shared" si="6"/>
        <v>84.000000000000014</v>
      </c>
      <c r="G32" s="16">
        <f t="shared" si="6"/>
        <v>392.00000000000006</v>
      </c>
      <c r="H32" s="16">
        <f t="shared" si="6"/>
        <v>392.00000000000006</v>
      </c>
      <c r="I32" s="8" t="s">
        <v>496</v>
      </c>
    </row>
    <row r="33" spans="2:9" x14ac:dyDescent="0.25">
      <c r="B33" s="6" t="s">
        <v>497</v>
      </c>
      <c r="C33" s="16">
        <v>177</v>
      </c>
      <c r="D33" s="16">
        <f>177+(Inputs!$D$112-177)*1/3</f>
        <v>248</v>
      </c>
      <c r="E33" s="16">
        <f>177+(Inputs!$D$112-177)*2/3</f>
        <v>319</v>
      </c>
      <c r="F33" s="16">
        <f>Inputs!$D$112</f>
        <v>390</v>
      </c>
      <c r="G33" s="16">
        <f>Inputs!$D$112+(534-Inputs!$D$112)*1/6</f>
        <v>414</v>
      </c>
      <c r="H33" s="16">
        <f>Inputs!$D$112+(534-Inputs!$D$112)*2/6</f>
        <v>438</v>
      </c>
      <c r="I33" s="8" t="s">
        <v>498</v>
      </c>
    </row>
    <row r="34" spans="2:9" x14ac:dyDescent="0.25">
      <c r="B34" s="6" t="s">
        <v>499</v>
      </c>
      <c r="C34" s="27">
        <f t="shared" ref="C34:H34" si="7">IF(C33=0,0,C30/C33)</f>
        <v>0</v>
      </c>
      <c r="D34" s="27">
        <f t="shared" si="7"/>
        <v>0</v>
      </c>
      <c r="E34" s="27">
        <f t="shared" si="7"/>
        <v>0</v>
      </c>
      <c r="F34" s="27">
        <f t="shared" si="7"/>
        <v>6.6461538461538461E-2</v>
      </c>
      <c r="G34" s="27">
        <f t="shared" si="7"/>
        <v>0.29217391304347823</v>
      </c>
      <c r="H34" s="27">
        <f t="shared" si="7"/>
        <v>0.2761643835616438</v>
      </c>
      <c r="I34" s="8" t="s">
        <v>500</v>
      </c>
    </row>
    <row r="35" spans="2:9" x14ac:dyDescent="0.25">
      <c r="B35" s="6" t="s">
        <v>501</v>
      </c>
      <c r="C35" s="21">
        <f t="shared" ref="C35:H35" si="8">C22+C29</f>
        <v>-5.4569682106375694E-12</v>
      </c>
      <c r="D35" s="21">
        <f t="shared" si="8"/>
        <v>190.07189041095489</v>
      </c>
      <c r="E35" s="21">
        <f t="shared" si="8"/>
        <v>358.41204515068057</v>
      </c>
      <c r="F35" s="21">
        <f t="shared" si="8"/>
        <v>450.05246594980446</v>
      </c>
      <c r="G35" s="21">
        <f t="shared" si="8"/>
        <v>267.18325553527131</v>
      </c>
      <c r="H35" s="21">
        <f t="shared" si="8"/>
        <v>466.57696242277609</v>
      </c>
      <c r="I35" s="8" t="s">
        <v>502</v>
      </c>
    </row>
    <row r="36" spans="2:9" x14ac:dyDescent="0.25">
      <c r="B36" s="6" t="s">
        <v>503</v>
      </c>
      <c r="C36" s="16">
        <f t="shared" ref="C36:H36" si="9">C33-C30</f>
        <v>177</v>
      </c>
      <c r="D36" s="16">
        <f t="shared" si="9"/>
        <v>248</v>
      </c>
      <c r="E36" s="16">
        <f t="shared" si="9"/>
        <v>319</v>
      </c>
      <c r="F36" s="16">
        <f t="shared" si="9"/>
        <v>364.08</v>
      </c>
      <c r="G36" s="16">
        <f t="shared" si="9"/>
        <v>293.04000000000002</v>
      </c>
      <c r="H36" s="16">
        <f t="shared" si="9"/>
        <v>317.04000000000002</v>
      </c>
      <c r="I36" s="8" t="s">
        <v>504</v>
      </c>
    </row>
    <row r="37" spans="2:9" x14ac:dyDescent="0.25">
      <c r="B37" s="8" t="s">
        <v>505</v>
      </c>
    </row>
  </sheetData>
  <pageMargins left="0.75" right="0.75" top="1" bottom="1" header="0.511811023622047" footer="0.511811023622047"/>
  <pageSetup paperSize="9"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2:H38"/>
  <sheetViews>
    <sheetView showGridLines="0" tabSelected="1" topLeftCell="A10" zoomScaleNormal="100" workbookViewId="0">
      <selection activeCell="E25" sqref="E25"/>
    </sheetView>
  </sheetViews>
  <sheetFormatPr defaultColWidth="8.7109375" defaultRowHeight="15" x14ac:dyDescent="0.25"/>
  <cols>
    <col min="1" max="1" width="3" customWidth="1"/>
    <col min="2" max="2" width="56" customWidth="1"/>
    <col min="3" max="7" width="15" customWidth="1"/>
    <col min="8" max="8" width="60" customWidth="1"/>
  </cols>
  <sheetData>
    <row r="2" spans="2:8" x14ac:dyDescent="0.25">
      <c r="B2" s="2" t="s">
        <v>506</v>
      </c>
    </row>
    <row r="4" spans="2:8" x14ac:dyDescent="0.25">
      <c r="B4" s="22" t="s">
        <v>507</v>
      </c>
      <c r="C4" s="22" t="s">
        <v>508</v>
      </c>
      <c r="D4" s="22" t="s">
        <v>509</v>
      </c>
      <c r="E4" s="22" t="s">
        <v>510</v>
      </c>
      <c r="F4" s="22" t="s">
        <v>511</v>
      </c>
      <c r="G4" s="22" t="s">
        <v>512</v>
      </c>
      <c r="H4" s="22" t="s">
        <v>7</v>
      </c>
    </row>
    <row r="6" spans="2:8" x14ac:dyDescent="0.25">
      <c r="B6" s="2" t="s">
        <v>513</v>
      </c>
    </row>
    <row r="7" spans="2:8" x14ac:dyDescent="0.25">
      <c r="B7" t="s">
        <v>514</v>
      </c>
      <c r="C7" s="35">
        <f>Inputs!$D$76*Inputs!$D$77*Inputs!$D$78</f>
        <v>596.40410958904079</v>
      </c>
    </row>
    <row r="8" spans="2:8" x14ac:dyDescent="0.25">
      <c r="B8" t="s">
        <v>515</v>
      </c>
      <c r="C8" s="35">
        <f>Inputs!$D$79*Inputs!$D$80*Inputs!$D$81</f>
        <v>125.39999999999999</v>
      </c>
    </row>
    <row r="9" spans="2:8" x14ac:dyDescent="0.25">
      <c r="B9" t="s">
        <v>516</v>
      </c>
      <c r="C9" s="35">
        <f>Inputs!$D$79-C8</f>
        <v>274.60000000000002</v>
      </c>
    </row>
    <row r="10" spans="2:8" x14ac:dyDescent="0.25">
      <c r="B10" t="s">
        <v>517</v>
      </c>
      <c r="C10" s="35">
        <f>Inputs!$D$82*Inputs!$D$83</f>
        <v>588.2410958904112</v>
      </c>
    </row>
    <row r="11" spans="2:8" x14ac:dyDescent="0.25">
      <c r="B11" t="s">
        <v>518</v>
      </c>
      <c r="C11" s="35">
        <f>(Inputs!$D$50-Inputs!$D$5)*Inputs!$D$29/Inputs!$D$26</f>
        <v>350.64318925389296</v>
      </c>
    </row>
    <row r="12" spans="2:8" x14ac:dyDescent="0.25">
      <c r="B12" t="s">
        <v>519</v>
      </c>
      <c r="C12" s="35">
        <f>(Inputs!$D$50-Inputs!$D$5)-C11</f>
        <v>231.8769477324131</v>
      </c>
    </row>
    <row r="13" spans="2:8" x14ac:dyDescent="0.25">
      <c r="B13" t="s">
        <v>520</v>
      </c>
      <c r="C13" s="23">
        <f>C8/Inputs!$D$79</f>
        <v>0.3135</v>
      </c>
      <c r="H13" t="s">
        <v>521</v>
      </c>
    </row>
    <row r="15" spans="2:8" x14ac:dyDescent="0.25">
      <c r="B15" s="2" t="s">
        <v>522</v>
      </c>
    </row>
    <row r="16" spans="2:8" x14ac:dyDescent="0.25">
      <c r="B16" s="6" t="s">
        <v>523</v>
      </c>
      <c r="C16" s="16">
        <f>C7</f>
        <v>596.40410958904079</v>
      </c>
      <c r="D16" s="24">
        <f>Inputs!$D$31</f>
        <v>6.5</v>
      </c>
      <c r="E16" s="8" t="s">
        <v>524</v>
      </c>
      <c r="F16" s="8" t="s">
        <v>525</v>
      </c>
      <c r="G16" s="25">
        <f>C16*D16*365/1000000</f>
        <v>1.4149687499999992</v>
      </c>
    </row>
    <row r="17" spans="2:8" x14ac:dyDescent="0.25">
      <c r="B17" s="6" t="s">
        <v>526</v>
      </c>
      <c r="C17" s="16">
        <f>C8</f>
        <v>125.39999999999999</v>
      </c>
      <c r="D17" s="24">
        <f>Inputs!$D$32</f>
        <v>7</v>
      </c>
      <c r="E17" s="8" t="s">
        <v>524</v>
      </c>
      <c r="F17" s="8" t="s">
        <v>527</v>
      </c>
      <c r="G17" s="25">
        <f t="shared" ref="G16:G23" si="0">C17*D17*365/1000000</f>
        <v>0.32039699999999999</v>
      </c>
    </row>
    <row r="18" spans="2:8" x14ac:dyDescent="0.25">
      <c r="B18" s="6" t="s">
        <v>528</v>
      </c>
      <c r="C18" s="16">
        <f>C10</f>
        <v>588.2410958904112</v>
      </c>
      <c r="D18" s="24">
        <f>Inputs!$D$32</f>
        <v>7</v>
      </c>
      <c r="E18" s="8" t="s">
        <v>524</v>
      </c>
      <c r="F18" s="8" t="s">
        <v>529</v>
      </c>
      <c r="G18" s="25">
        <f t="shared" si="0"/>
        <v>1.5029560000000006</v>
      </c>
    </row>
    <row r="19" spans="2:8" x14ac:dyDescent="0.25">
      <c r="B19" s="6" t="s">
        <v>530</v>
      </c>
      <c r="C19" s="16">
        <f>Inputs!$D$3-Inputs!$D$79</f>
        <v>567.378082191781</v>
      </c>
      <c r="D19" s="24">
        <f>Inputs!$D$33</f>
        <v>9.6</v>
      </c>
      <c r="E19" s="8" t="s">
        <v>531</v>
      </c>
      <c r="F19" s="8" t="s">
        <v>532</v>
      </c>
      <c r="G19" s="25">
        <f t="shared" si="0"/>
        <v>1.9880928000000004</v>
      </c>
    </row>
    <row r="20" spans="2:8" x14ac:dyDescent="0.25">
      <c r="B20" s="6" t="s">
        <v>533</v>
      </c>
      <c r="C20" s="16">
        <f>C11</f>
        <v>350.64318925389296</v>
      </c>
      <c r="D20" s="24">
        <f>Inputs!$D$43</f>
        <v>7.5</v>
      </c>
      <c r="E20" s="8" t="s">
        <v>534</v>
      </c>
      <c r="F20" s="8" t="s">
        <v>535</v>
      </c>
      <c r="G20" s="25">
        <f t="shared" si="0"/>
        <v>0.9598857305825319</v>
      </c>
    </row>
    <row r="21" spans="2:8" x14ac:dyDescent="0.25">
      <c r="B21" s="6" t="s">
        <v>536</v>
      </c>
      <c r="C21" s="16">
        <f>IF(Scenarios!$C$10=0,Inputs!$D$85*Inputs!$D$25*1000/365*0.5,0)</f>
        <v>90.410958904109592</v>
      </c>
      <c r="D21" s="24">
        <f>Inputs!$D$34</f>
        <v>13</v>
      </c>
      <c r="E21" s="8" t="s">
        <v>537</v>
      </c>
      <c r="F21" s="8" t="s">
        <v>538</v>
      </c>
      <c r="G21" s="25">
        <f t="shared" si="0"/>
        <v>0.42899999999999999</v>
      </c>
    </row>
    <row r="22" spans="2:8" x14ac:dyDescent="0.25">
      <c r="B22" s="6" t="s">
        <v>539</v>
      </c>
      <c r="C22" s="16">
        <f>C9-C21</f>
        <v>184.18904109589045</v>
      </c>
      <c r="D22" s="24">
        <f>Scenarios!$C$12</f>
        <v>16.75</v>
      </c>
      <c r="E22" s="8" t="s">
        <v>540</v>
      </c>
      <c r="F22" s="8" t="s">
        <v>541</v>
      </c>
      <c r="G22" s="25">
        <f t="shared" si="0"/>
        <v>1.1260857500000003</v>
      </c>
    </row>
    <row r="23" spans="2:8" x14ac:dyDescent="0.25">
      <c r="B23" s="6" t="s">
        <v>542</v>
      </c>
      <c r="C23" s="16">
        <f>C12</f>
        <v>231.8769477324131</v>
      </c>
      <c r="D23" s="24">
        <f>Scenarios!$C$12</f>
        <v>16.75</v>
      </c>
      <c r="E23" s="8" t="s">
        <v>543</v>
      </c>
      <c r="F23" s="8" t="s">
        <v>544</v>
      </c>
      <c r="G23" s="25">
        <f t="shared" si="0"/>
        <v>1.4176376891990405</v>
      </c>
    </row>
    <row r="25" spans="2:8" x14ac:dyDescent="0.25">
      <c r="B25" s="6" t="s">
        <v>545</v>
      </c>
      <c r="C25" s="26">
        <f>SUMPRODUCT(C16:C23,D16:D23)/SUM(C16:C23)</f>
        <v>9.1763822232141017</v>
      </c>
    </row>
    <row r="26" spans="2:8" x14ac:dyDescent="0.25">
      <c r="B26" s="6" t="s">
        <v>546</v>
      </c>
      <c r="C26" s="26">
        <f>Scenarios!$C$12</f>
        <v>16.75</v>
      </c>
    </row>
    <row r="27" spans="2:8" x14ac:dyDescent="0.25">
      <c r="B27" s="3" t="s">
        <v>547</v>
      </c>
      <c r="C27" s="26">
        <f>(C8*Inputs!$D$32+C21*Inputs!$D$34+C22*Scenarios!$C$12)/Inputs!$D$79</f>
        <v>12.845772260273975</v>
      </c>
      <c r="H27" t="s">
        <v>548</v>
      </c>
    </row>
    <row r="28" spans="2:8" x14ac:dyDescent="0.25">
      <c r="B28" s="3" t="s">
        <v>549</v>
      </c>
      <c r="C28" s="26">
        <f>(C8*Inputs!$D$96+C9*Scenarios!$C$12)/Inputs!$D$79</f>
        <v>14.508475000000001</v>
      </c>
      <c r="H28" t="s">
        <v>550</v>
      </c>
    </row>
    <row r="29" spans="2:8" x14ac:dyDescent="0.25">
      <c r="B29" s="6" t="s">
        <v>551</v>
      </c>
      <c r="C29" s="26">
        <f>(Inputs!$D$79*0.887*Inputs!$D$32+Inputs!$D$79*(1-0.887)*Scenarios!$C$12)/Inputs!$D$79</f>
        <v>8.1017499999999991</v>
      </c>
    </row>
    <row r="31" spans="2:8" x14ac:dyDescent="0.25">
      <c r="B31" s="8" t="s">
        <v>552</v>
      </c>
    </row>
    <row r="33" spans="2:3" x14ac:dyDescent="0.25">
      <c r="B33" s="2" t="s">
        <v>553</v>
      </c>
    </row>
    <row r="34" spans="2:3" x14ac:dyDescent="0.25">
      <c r="B34" s="6" t="s">
        <v>554</v>
      </c>
      <c r="C34" s="26">
        <f>Inputs!$D$111</f>
        <v>13</v>
      </c>
    </row>
    <row r="35" spans="2:3" x14ac:dyDescent="0.25">
      <c r="B35" s="3" t="s">
        <v>555</v>
      </c>
      <c r="C35" s="26">
        <f>(C8*Inputs!$D$32+C9*C34)/Inputs!$D$79</f>
        <v>11.119000000000002</v>
      </c>
    </row>
    <row r="36" spans="2:3" x14ac:dyDescent="0.25">
      <c r="B36" s="3" t="s">
        <v>556</v>
      </c>
      <c r="C36" s="26">
        <f>(C8*Inputs!$D$96+C9*C34)/Inputs!$D$79</f>
        <v>11.934100000000001</v>
      </c>
    </row>
    <row r="37" spans="2:3" x14ac:dyDescent="0.25">
      <c r="B37" s="6" t="s">
        <v>557</v>
      </c>
      <c r="C37" s="26">
        <f>C34-Inputs!$D$31</f>
        <v>6.5</v>
      </c>
    </row>
    <row r="38" spans="2:3" x14ac:dyDescent="0.25">
      <c r="B38" s="8" t="s">
        <v>558</v>
      </c>
    </row>
  </sheetData>
  <pageMargins left="0.75" right="0.75" top="1" bottom="1" header="0.511811023622047" footer="0.511811023622047"/>
  <pageSetup paperSize="9"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2:F26"/>
  <sheetViews>
    <sheetView showGridLines="0" topLeftCell="A4" zoomScaleNormal="100" workbookViewId="0">
      <selection activeCell="F9" sqref="F9"/>
    </sheetView>
  </sheetViews>
  <sheetFormatPr defaultColWidth="8.7109375" defaultRowHeight="15" x14ac:dyDescent="0.25"/>
  <cols>
    <col min="1" max="1" width="3" customWidth="1"/>
    <col min="2" max="2" width="66" customWidth="1"/>
    <col min="3" max="5" width="15" customWidth="1"/>
    <col min="6" max="6" width="70" customWidth="1"/>
  </cols>
  <sheetData>
    <row r="2" spans="2:6" x14ac:dyDescent="0.25">
      <c r="B2" s="2" t="s">
        <v>559</v>
      </c>
    </row>
    <row r="4" spans="2:6" x14ac:dyDescent="0.25">
      <c r="B4" s="22" t="s">
        <v>560</v>
      </c>
      <c r="C4" s="22" t="s">
        <v>561</v>
      </c>
      <c r="D4" s="22" t="s">
        <v>562</v>
      </c>
      <c r="E4" s="22" t="s">
        <v>563</v>
      </c>
      <c r="F4" s="22" t="s">
        <v>564</v>
      </c>
    </row>
    <row r="5" spans="2:6" ht="42" customHeight="1" x14ac:dyDescent="0.25">
      <c r="B5" s="6" t="s">
        <v>565</v>
      </c>
      <c r="C5" s="25">
        <f>(Stack!C7+Stack!C8+Stack!C10)*365*(Inputs!$D$40-Inputs!$D$41)/1000000</f>
        <v>1.0041496499999998</v>
      </c>
      <c r="D5" s="25">
        <f>0</f>
        <v>0</v>
      </c>
      <c r="E5" s="8" t="s">
        <v>566</v>
      </c>
      <c r="F5" s="9" t="s">
        <v>567</v>
      </c>
    </row>
    <row r="6" spans="2:6" ht="42" customHeight="1" x14ac:dyDescent="0.25">
      <c r="B6" s="6" t="s">
        <v>568</v>
      </c>
      <c r="C6" s="25">
        <f>Inputs!$D$85*Inputs!$D$25*MAX(0,Scenarios!$C$12-Inputs!$D$34)/1000</f>
        <v>0.2475</v>
      </c>
      <c r="D6" s="25">
        <f>IF(Inputs!$D$100=1,Inputs!$D$85*Inputs!$D$25*MAX(0,Scenarios!$C$12-Inputs!$D$34)/1000,0)</f>
        <v>0</v>
      </c>
      <c r="E6" s="8" t="s">
        <v>569</v>
      </c>
      <c r="F6" s="9" t="s">
        <v>570</v>
      </c>
    </row>
    <row r="7" spans="2:6" ht="42" customHeight="1" x14ac:dyDescent="0.25">
      <c r="B7" s="6" t="s">
        <v>571</v>
      </c>
      <c r="C7" s="25">
        <f>Stack!C12*365*MAX(0,Scenarios!$C$12-Inputs!$D$44)/1000000</f>
        <v>0.57128682997573277</v>
      </c>
      <c r="D7" s="25">
        <f>Stack!C12*365*MAX(0,Scenarios!$C$12-Inputs!$D$44)/1000000*(1-Inputs!$D$53*Inputs!$D$97)</f>
        <v>0.13693325014614136</v>
      </c>
      <c r="E7" s="8" t="s">
        <v>572</v>
      </c>
      <c r="F7" s="9" t="s">
        <v>573</v>
      </c>
    </row>
    <row r="8" spans="2:6" ht="42" customHeight="1" x14ac:dyDescent="0.25">
      <c r="B8" s="6" t="s">
        <v>574</v>
      </c>
      <c r="C8" s="25">
        <f>(Inputs!$D$60+Inputs!$D$64*(Scenarios!$C$13-Inputs!$D$56)+Inputs!$D$65*(Scenarios!$C$7-16500)/100)/Scenarios!$C$7*1000</f>
        <v>25.587139664164138</v>
      </c>
      <c r="D8" s="25">
        <f>(Inputs!$D$60+Inputs!$D$64*(Scenarios!$C$13-Inputs!$D$56)+Inputs!$D$65*(Scenarios!$C$7-16500)/100-Inputs!$D$89*MAX(0,Inputs!$D$88*Scenarios!$C$13/Inputs!$D$92-Inputs!$D$87)*Inputs!$D$98/1000)/Scenarios!$C$7*1000</f>
        <v>21.006842799014272</v>
      </c>
      <c r="E8" s="8" t="s">
        <v>575</v>
      </c>
      <c r="F8" s="9" t="s">
        <v>576</v>
      </c>
    </row>
    <row r="9" spans="2:6" ht="42" customHeight="1" x14ac:dyDescent="0.25">
      <c r="B9" s="6" t="s">
        <v>577</v>
      </c>
      <c r="C9" s="25">
        <f>0</f>
        <v>0</v>
      </c>
      <c r="D9" s="25">
        <f>Inputs!$D$76*Inputs!$D$95*365*(Inputs!$D$40-Inputs!$D$41)/1000000</f>
        <v>0.32876082402234619</v>
      </c>
      <c r="E9" s="8" t="s">
        <v>578</v>
      </c>
      <c r="F9" s="9" t="s">
        <v>579</v>
      </c>
    </row>
    <row r="10" spans="2:6" ht="42" customHeight="1" x14ac:dyDescent="0.25">
      <c r="B10" s="6" t="s">
        <v>580</v>
      </c>
      <c r="C10" s="25">
        <f>0</f>
        <v>0</v>
      </c>
      <c r="D10" s="25">
        <f>Inputs!$D$90*Inputs!$D$91*Inputs!$D$99/1000000/Scenarios!$C$7*1000</f>
        <v>3.6146484039199955</v>
      </c>
      <c r="E10" s="8" t="s">
        <v>581</v>
      </c>
      <c r="F10" s="9" t="s">
        <v>582</v>
      </c>
    </row>
    <row r="11" spans="2:6" x14ac:dyDescent="0.25">
      <c r="B11" s="3" t="s">
        <v>583</v>
      </c>
      <c r="C11" s="25">
        <f>SUM(C5:C10)</f>
        <v>27.410076144139872</v>
      </c>
      <c r="D11" s="25">
        <f>SUM(D5:D10)</f>
        <v>25.087185277102758</v>
      </c>
    </row>
    <row r="12" spans="2:6" x14ac:dyDescent="0.25">
      <c r="B12" s="6" t="s">
        <v>584</v>
      </c>
      <c r="C12" s="25">
        <f>C7+C8+C9+C10</f>
        <v>26.158426494139871</v>
      </c>
      <c r="D12" s="25">
        <f>D7+D8+D9+D10</f>
        <v>25.087185277102758</v>
      </c>
    </row>
    <row r="13" spans="2:6" x14ac:dyDescent="0.25">
      <c r="B13" s="6" t="s">
        <v>585</v>
      </c>
      <c r="C13" s="25">
        <f>C5+C6</f>
        <v>1.2516496499999998</v>
      </c>
      <c r="D13" s="25">
        <f>D5+D6</f>
        <v>0</v>
      </c>
    </row>
    <row r="14" spans="2:6" x14ac:dyDescent="0.25">
      <c r="B14" s="3" t="s">
        <v>586</v>
      </c>
      <c r="C14" s="25">
        <f>C11*Scenarios!$C$7/1000</f>
        <v>478.27841863909663</v>
      </c>
      <c r="D14" s="25">
        <f>D11*Scenarios!$C$7/1000</f>
        <v>437.74629590016605</v>
      </c>
    </row>
    <row r="15" spans="2:6" x14ac:dyDescent="0.25">
      <c r="B15" s="3" t="s">
        <v>587</v>
      </c>
      <c r="C15" s="25">
        <f>C11-D11</f>
        <v>2.3228908670371133</v>
      </c>
      <c r="D15" s="25"/>
    </row>
    <row r="16" spans="2:6" x14ac:dyDescent="0.25">
      <c r="B16" s="3" t="s">
        <v>588</v>
      </c>
      <c r="C16" s="25">
        <f>C15*Scenarios!$C$7/1000</f>
        <v>40.532122738930596</v>
      </c>
      <c r="D16" s="25"/>
    </row>
    <row r="17" spans="2:4" x14ac:dyDescent="0.25">
      <c r="B17" s="6" t="s">
        <v>589</v>
      </c>
      <c r="C17" s="25">
        <f>(0.03-Inputs!$D$66)*Inputs!$D$67</f>
        <v>38.647368421052647</v>
      </c>
      <c r="D17" s="27">
        <f>C16/C17</f>
        <v>1.0487679858908907</v>
      </c>
    </row>
    <row r="18" spans="2:4" x14ac:dyDescent="0.25">
      <c r="B18" s="6" t="s">
        <v>590</v>
      </c>
      <c r="C18" s="25">
        <f>Stack!C27</f>
        <v>12.845772260273975</v>
      </c>
      <c r="D18" s="25">
        <f>Stack!C28</f>
        <v>14.508475000000001</v>
      </c>
    </row>
    <row r="19" spans="2:4" x14ac:dyDescent="0.25">
      <c r="B19" s="6" t="s">
        <v>591</v>
      </c>
      <c r="C19" s="25"/>
      <c r="D19" s="25">
        <f>(D18-C18)*Inputs!$D$79*365/1000000</f>
        <v>0.24275459999999977</v>
      </c>
    </row>
    <row r="21" spans="2:4" x14ac:dyDescent="0.25">
      <c r="B21" s="2" t="s">
        <v>592</v>
      </c>
    </row>
    <row r="22" spans="2:4" x14ac:dyDescent="0.25">
      <c r="B22" s="6" t="s">
        <v>593</v>
      </c>
      <c r="C22" s="25">
        <f>C5+Inputs!$D$60/Scenarios!$C$7*1000</f>
        <v>20.374887228084702</v>
      </c>
    </row>
    <row r="23" spans="2:4" x14ac:dyDescent="0.25">
      <c r="B23" s="6" t="s">
        <v>594</v>
      </c>
      <c r="C23" s="25">
        <f>C11-C22</f>
        <v>7.0351889160551693</v>
      </c>
    </row>
    <row r="24" spans="2:4" x14ac:dyDescent="0.25">
      <c r="B24" s="6" t="s">
        <v>595</v>
      </c>
      <c r="C24" s="25">
        <f>Inputs!$D$62</f>
        <v>525.9</v>
      </c>
    </row>
    <row r="26" spans="2:4" x14ac:dyDescent="0.25">
      <c r="B26" s="8" t="s">
        <v>596</v>
      </c>
    </row>
  </sheetData>
  <pageMargins left="0.75" right="0.75" top="1" bottom="1" header="0.511811023622047" footer="0.511811023622047"/>
  <pageSetup paperSize="9"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N86"/>
  <sheetViews>
    <sheetView showGridLines="0" topLeftCell="A57" zoomScaleNormal="100" workbookViewId="0"/>
  </sheetViews>
  <sheetFormatPr defaultColWidth="8.7109375" defaultRowHeight="15" x14ac:dyDescent="0.25"/>
  <cols>
    <col min="1" max="1" width="3" customWidth="1"/>
    <col min="2" max="2" width="12" customWidth="1"/>
    <col min="3" max="4" width="10" customWidth="1"/>
    <col min="5" max="14" width="12" customWidth="1"/>
  </cols>
  <sheetData>
    <row r="2" spans="2:14" x14ac:dyDescent="0.25">
      <c r="B2" s="2" t="s">
        <v>597</v>
      </c>
    </row>
    <row r="4" spans="2:14" ht="30" customHeight="1" x14ac:dyDescent="0.25">
      <c r="B4" s="28" t="s">
        <v>438</v>
      </c>
      <c r="C4" s="28" t="s">
        <v>598</v>
      </c>
      <c r="D4" s="28" t="s">
        <v>599</v>
      </c>
      <c r="E4" s="28" t="s">
        <v>600</v>
      </c>
      <c r="F4" s="28" t="s">
        <v>601</v>
      </c>
      <c r="G4" s="28" t="s">
        <v>602</v>
      </c>
      <c r="H4" s="28" t="s">
        <v>603</v>
      </c>
      <c r="I4" s="28" t="s">
        <v>604</v>
      </c>
      <c r="J4" s="28" t="s">
        <v>605</v>
      </c>
      <c r="K4" s="28" t="s">
        <v>606</v>
      </c>
      <c r="L4" s="28" t="s">
        <v>607</v>
      </c>
      <c r="M4" s="28" t="s">
        <v>608</v>
      </c>
      <c r="N4" s="28" t="s">
        <v>609</v>
      </c>
    </row>
    <row r="5" spans="2:14" x14ac:dyDescent="0.25">
      <c r="B5" s="29" t="s">
        <v>439</v>
      </c>
      <c r="C5" s="29">
        <v>10</v>
      </c>
      <c r="D5" s="29">
        <v>70</v>
      </c>
      <c r="E5" s="25">
        <f>IF(0=1,0,(Stack!$C$7+Stack!$C$8+Stack!$C$10)*365*(Inputs!$D$40-Inputs!$D$41)/1000000)</f>
        <v>1.0041496499999998</v>
      </c>
      <c r="F5" s="25">
        <f>IF(OR(0=0,Inputs!$D$100=1),Inputs!$D$85*Inputs!$D$25*MAX(0,($C5+Inputs!$D$39)-Inputs!$D$34)/1000,0)</f>
        <v>0</v>
      </c>
      <c r="G5" s="25">
        <f>Stack!$C$12*365*MAX(0,($C5+Inputs!$D$39)-Inputs!$D$44)/1000000*IF(0=1,1-Inputs!$D$53*Inputs!$D$97,1)</f>
        <v>0.14811140036407888</v>
      </c>
      <c r="H5" s="25">
        <f>(Inputs!$D$60+Inputs!$D$64*($D5-Inputs!$D$56)+Inputs!$D$65*(Scenarios!$C$7-16500)/100-IF(0=1,Inputs!$D$89*MAX(0,Inputs!$D$88*$D5/Inputs!$D$92-Inputs!$D$87)*Inputs!$D$98/1000,0))/Scenarios!$C$7*1000</f>
        <v>21.002349704854147</v>
      </c>
      <c r="I5" s="25">
        <f>IF(0=1,Inputs!$D$76*Inputs!$D$95*365*(Inputs!$D$40-Inputs!$D$41)/1000000,0)</f>
        <v>0</v>
      </c>
      <c r="J5" s="25">
        <f>IF(0=1,Inputs!$D$90*Inputs!$D$91*Inputs!$D$99/1000000/Scenarios!$C$7*1000,0)</f>
        <v>0</v>
      </c>
      <c r="K5" s="30">
        <f t="shared" ref="K5:K28" si="0">SUM(E5:J5)</f>
        <v>22.154610755218226</v>
      </c>
      <c r="L5" s="31">
        <f>K5*Scenarios!$C$7/1000</f>
        <v>386.57580306780278</v>
      </c>
      <c r="M5" s="25">
        <f>IF(0=0,(Stack!$C$8*Inputs!$D$32+IF(0=0,Inputs!$D$85*Inputs!$D$25*1000/365*0.5,0)*Inputs!$D$34+(Stack!$C$9-IF(0=0,Inputs!$D$85*Inputs!$D$25*1000/365*0.5,0))*($C5+Inputs!$D$39))/Inputs!$D$79,(Stack!$C$8*Inputs!$D$96+Stack!$C$9*($C5+Inputs!$D$39))/Inputs!$D$79)</f>
        <v>10.543409246575344</v>
      </c>
    </row>
    <row r="6" spans="2:14" x14ac:dyDescent="0.25">
      <c r="B6" s="29" t="s">
        <v>439</v>
      </c>
      <c r="C6" s="29">
        <v>10</v>
      </c>
      <c r="D6" s="29">
        <v>90</v>
      </c>
      <c r="E6" s="25">
        <f>IF(0=1,0,(Stack!$C$7+Stack!$C$8+Stack!$C$10)*365*(Inputs!$D$40-Inputs!$D$41)/1000000)</f>
        <v>1.0041496499999998</v>
      </c>
      <c r="F6" s="25">
        <f>IF(OR(0=0,Inputs!$D$100=1),Inputs!$D$85*Inputs!$D$25*MAX(0,($C6+Inputs!$D$39)-Inputs!$D$34)/1000,0)</f>
        <v>0</v>
      </c>
      <c r="G6" s="25">
        <f>Stack!$C$12*365*MAX(0,($C6+Inputs!$D$39)-Inputs!$D$44)/1000000*IF(0=1,1-Inputs!$D$53*Inputs!$D$97,1)</f>
        <v>0.14811140036407888</v>
      </c>
      <c r="H6" s="25">
        <f>(Inputs!$D$60+Inputs!$D$64*($D6-Inputs!$D$56)+Inputs!$D$65*(Scenarios!$C$7-16500)/100-IF(0=1,Inputs!$D$89*MAX(0,Inputs!$D$88*$D6/Inputs!$D$92-Inputs!$D$87)*Inputs!$D$98/1000,0))/Scenarios!$C$7*1000</f>
        <v>25.587139664164138</v>
      </c>
      <c r="I6" s="25">
        <f>IF(0=1,Inputs!$D$76*Inputs!$D$95*365*(Inputs!$D$40-Inputs!$D$41)/1000000,0)</f>
        <v>0</v>
      </c>
      <c r="J6" s="25">
        <f>IF(0=1,Inputs!$D$90*Inputs!$D$91*Inputs!$D$99/1000000/Scenarios!$C$7*1000,0)</f>
        <v>0</v>
      </c>
      <c r="K6" s="30">
        <f t="shared" si="0"/>
        <v>26.739400714528216</v>
      </c>
      <c r="L6" s="31">
        <f>K6*Scenarios!$C$7/1000</f>
        <v>466.57580306780284</v>
      </c>
      <c r="M6" s="25">
        <f>IF(0=0,(Stack!$C$8*Inputs!$D$32+IF(0=0,Inputs!$D$85*Inputs!$D$25*1000/365*0.5,0)*Inputs!$D$34+(Stack!$C$9-IF(0=0,Inputs!$D$85*Inputs!$D$25*1000/365*0.5,0))*($C6+Inputs!$D$39))/Inputs!$D$79,(Stack!$C$8*Inputs!$D$96+Stack!$C$9*($C6+Inputs!$D$39))/Inputs!$D$79)</f>
        <v>10.543409246575344</v>
      </c>
    </row>
    <row r="7" spans="2:14" x14ac:dyDescent="0.25">
      <c r="B7" s="29" t="s">
        <v>439</v>
      </c>
      <c r="C7" s="29">
        <v>10</v>
      </c>
      <c r="D7" s="29">
        <v>110</v>
      </c>
      <c r="E7" s="25">
        <f>IF(0=1,0,(Stack!$C$7+Stack!$C$8+Stack!$C$10)*365*(Inputs!$D$40-Inputs!$D$41)/1000000)</f>
        <v>1.0041496499999998</v>
      </c>
      <c r="F7" s="25">
        <f>IF(OR(0=0,Inputs!$D$100=1),Inputs!$D$85*Inputs!$D$25*MAX(0,($C7+Inputs!$D$39)-Inputs!$D$34)/1000,0)</f>
        <v>0</v>
      </c>
      <c r="G7" s="25">
        <f>Stack!$C$12*365*MAX(0,($C7+Inputs!$D$39)-Inputs!$D$44)/1000000*IF(0=1,1-Inputs!$D$53*Inputs!$D$97,1)</f>
        <v>0.14811140036407888</v>
      </c>
      <c r="H7" s="25">
        <f>(Inputs!$D$60+Inputs!$D$64*($D7-Inputs!$D$56)+Inputs!$D$65*(Scenarios!$C$7-16500)/100-IF(0=1,Inputs!$D$89*MAX(0,Inputs!$D$88*$D7/Inputs!$D$92-Inputs!$D$87)*Inputs!$D$98/1000,0))/Scenarios!$C$7*1000</f>
        <v>30.171929623474128</v>
      </c>
      <c r="I7" s="25">
        <f>IF(0=1,Inputs!$D$76*Inputs!$D$95*365*(Inputs!$D$40-Inputs!$D$41)/1000000,0)</f>
        <v>0</v>
      </c>
      <c r="J7" s="25">
        <f>IF(0=1,Inputs!$D$90*Inputs!$D$91*Inputs!$D$99/1000000/Scenarios!$C$7*1000,0)</f>
        <v>0</v>
      </c>
      <c r="K7" s="30">
        <f t="shared" si="0"/>
        <v>31.324190673838206</v>
      </c>
      <c r="L7" s="31">
        <f>K7*Scenarios!$C$7/1000</f>
        <v>546.57580306780289</v>
      </c>
      <c r="M7" s="25">
        <f>IF(0=0,(Stack!$C$8*Inputs!$D$32+IF(0=0,Inputs!$D$85*Inputs!$D$25*1000/365*0.5,0)*Inputs!$D$34+(Stack!$C$9-IF(0=0,Inputs!$D$85*Inputs!$D$25*1000/365*0.5,0))*($C7+Inputs!$D$39))/Inputs!$D$79,(Stack!$C$8*Inputs!$D$96+Stack!$C$9*($C7+Inputs!$D$39))/Inputs!$D$79)</f>
        <v>10.543409246575344</v>
      </c>
    </row>
    <row r="8" spans="2:14" x14ac:dyDescent="0.25">
      <c r="B8" s="29" t="s">
        <v>439</v>
      </c>
      <c r="C8" s="29">
        <v>15</v>
      </c>
      <c r="D8" s="29">
        <v>70</v>
      </c>
      <c r="E8" s="25">
        <f>IF(0=1,0,(Stack!$C$7+Stack!$C$8+Stack!$C$10)*365*(Inputs!$D$40-Inputs!$D$41)/1000000)</f>
        <v>1.0041496499999998</v>
      </c>
      <c r="F8" s="25">
        <f>IF(OR(0=0,Inputs!$D$100=1),Inputs!$D$85*Inputs!$D$25*MAX(0,($C8+Inputs!$D$39)-Inputs!$D$34)/1000,0)</f>
        <v>0.2475</v>
      </c>
      <c r="G8" s="25">
        <f>Stack!$C$12*365*MAX(0,($C8+Inputs!$D$39)-Inputs!$D$44)/1000000*IF(0=1,1-Inputs!$D$53*Inputs!$D$97,1)</f>
        <v>0.57128682997573277</v>
      </c>
      <c r="H8" s="25">
        <f>(Inputs!$D$60+Inputs!$D$64*($D8-Inputs!$D$56)+Inputs!$D$65*(Scenarios!$C$7-16500)/100-IF(0=1,Inputs!$D$89*MAX(0,Inputs!$D$88*$D8/Inputs!$D$92-Inputs!$D$87)*Inputs!$D$98/1000,0))/Scenarios!$C$7*1000</f>
        <v>21.002349704854147</v>
      </c>
      <c r="I8" s="25">
        <f>IF(0=1,Inputs!$D$76*Inputs!$D$95*365*(Inputs!$D$40-Inputs!$D$41)/1000000,0)</f>
        <v>0</v>
      </c>
      <c r="J8" s="25">
        <f>IF(0=1,Inputs!$D$90*Inputs!$D$91*Inputs!$D$99/1000000/Scenarios!$C$7*1000,0)</f>
        <v>0</v>
      </c>
      <c r="K8" s="30">
        <f t="shared" si="0"/>
        <v>22.825286184829881</v>
      </c>
      <c r="L8" s="31">
        <f>K8*Scenarios!$C$7/1000</f>
        <v>398.27841863909663</v>
      </c>
      <c r="M8" s="25">
        <f>IF(0=0,(Stack!$C$8*Inputs!$D$32+IF(0=0,Inputs!$D$85*Inputs!$D$25*1000/365*0.5,0)*Inputs!$D$34+(Stack!$C$9-IF(0=0,Inputs!$D$85*Inputs!$D$25*1000/365*0.5,0))*($C8+Inputs!$D$39))/Inputs!$D$79,(Stack!$C$8*Inputs!$D$96+Stack!$C$9*($C8+Inputs!$D$39))/Inputs!$D$79)</f>
        <v>12.845772260273975</v>
      </c>
    </row>
    <row r="9" spans="2:14" x14ac:dyDescent="0.25">
      <c r="B9" s="29" t="s">
        <v>439</v>
      </c>
      <c r="C9" s="29">
        <v>15</v>
      </c>
      <c r="D9" s="29">
        <v>90</v>
      </c>
      <c r="E9" s="25">
        <f>IF(0=1,0,(Stack!$C$7+Stack!$C$8+Stack!$C$10)*365*(Inputs!$D$40-Inputs!$D$41)/1000000)</f>
        <v>1.0041496499999998</v>
      </c>
      <c r="F9" s="25">
        <f>IF(OR(0=0,Inputs!$D$100=1),Inputs!$D$85*Inputs!$D$25*MAX(0,($C9+Inputs!$D$39)-Inputs!$D$34)/1000,0)</f>
        <v>0.2475</v>
      </c>
      <c r="G9" s="25">
        <f>Stack!$C$12*365*MAX(0,($C9+Inputs!$D$39)-Inputs!$D$44)/1000000*IF(0=1,1-Inputs!$D$53*Inputs!$D$97,1)</f>
        <v>0.57128682997573277</v>
      </c>
      <c r="H9" s="25">
        <f>(Inputs!$D$60+Inputs!$D$64*($D9-Inputs!$D$56)+Inputs!$D$65*(Scenarios!$C$7-16500)/100-IF(0=1,Inputs!$D$89*MAX(0,Inputs!$D$88*$D9/Inputs!$D$92-Inputs!$D$87)*Inputs!$D$98/1000,0))/Scenarios!$C$7*1000</f>
        <v>25.587139664164138</v>
      </c>
      <c r="I9" s="25">
        <f>IF(0=1,Inputs!$D$76*Inputs!$D$95*365*(Inputs!$D$40-Inputs!$D$41)/1000000,0)</f>
        <v>0</v>
      </c>
      <c r="J9" s="25">
        <f>IF(0=1,Inputs!$D$90*Inputs!$D$91*Inputs!$D$99/1000000/Scenarios!$C$7*1000,0)</f>
        <v>0</v>
      </c>
      <c r="K9" s="30">
        <f t="shared" si="0"/>
        <v>27.410076144139872</v>
      </c>
      <c r="L9" s="31">
        <f>K9*Scenarios!$C$7/1000</f>
        <v>478.27841863909663</v>
      </c>
      <c r="M9" s="25">
        <f>IF(0=0,(Stack!$C$8*Inputs!$D$32+IF(0=0,Inputs!$D$85*Inputs!$D$25*1000/365*0.5,0)*Inputs!$D$34+(Stack!$C$9-IF(0=0,Inputs!$D$85*Inputs!$D$25*1000/365*0.5,0))*($C9+Inputs!$D$39))/Inputs!$D$79,(Stack!$C$8*Inputs!$D$96+Stack!$C$9*($C9+Inputs!$D$39))/Inputs!$D$79)</f>
        <v>12.845772260273975</v>
      </c>
    </row>
    <row r="10" spans="2:14" x14ac:dyDescent="0.25">
      <c r="B10" s="29" t="s">
        <v>439</v>
      </c>
      <c r="C10" s="29">
        <v>15</v>
      </c>
      <c r="D10" s="29">
        <v>110</v>
      </c>
      <c r="E10" s="25">
        <f>IF(0=1,0,(Stack!$C$7+Stack!$C$8+Stack!$C$10)*365*(Inputs!$D$40-Inputs!$D$41)/1000000)</f>
        <v>1.0041496499999998</v>
      </c>
      <c r="F10" s="25">
        <f>IF(OR(0=0,Inputs!$D$100=1),Inputs!$D$85*Inputs!$D$25*MAX(0,($C10+Inputs!$D$39)-Inputs!$D$34)/1000,0)</f>
        <v>0.2475</v>
      </c>
      <c r="G10" s="25">
        <f>Stack!$C$12*365*MAX(0,($C10+Inputs!$D$39)-Inputs!$D$44)/1000000*IF(0=1,1-Inputs!$D$53*Inputs!$D$97,1)</f>
        <v>0.57128682997573277</v>
      </c>
      <c r="H10" s="25">
        <f>(Inputs!$D$60+Inputs!$D$64*($D10-Inputs!$D$56)+Inputs!$D$65*(Scenarios!$C$7-16500)/100-IF(0=1,Inputs!$D$89*MAX(0,Inputs!$D$88*$D10/Inputs!$D$92-Inputs!$D$87)*Inputs!$D$98/1000,0))/Scenarios!$C$7*1000</f>
        <v>30.171929623474128</v>
      </c>
      <c r="I10" s="25">
        <f>IF(0=1,Inputs!$D$76*Inputs!$D$95*365*(Inputs!$D$40-Inputs!$D$41)/1000000,0)</f>
        <v>0</v>
      </c>
      <c r="J10" s="25">
        <f>IF(0=1,Inputs!$D$90*Inputs!$D$91*Inputs!$D$99/1000000/Scenarios!$C$7*1000,0)</f>
        <v>0</v>
      </c>
      <c r="K10" s="30">
        <f t="shared" si="0"/>
        <v>31.994866103449862</v>
      </c>
      <c r="L10" s="31">
        <f>K10*Scenarios!$C$7/1000</f>
        <v>558.27841863909669</v>
      </c>
      <c r="M10" s="25">
        <f>IF(0=0,(Stack!$C$8*Inputs!$D$32+IF(0=0,Inputs!$D$85*Inputs!$D$25*1000/365*0.5,0)*Inputs!$D$34+(Stack!$C$9-IF(0=0,Inputs!$D$85*Inputs!$D$25*1000/365*0.5,0))*($C10+Inputs!$D$39))/Inputs!$D$79,(Stack!$C$8*Inputs!$D$96+Stack!$C$9*($C10+Inputs!$D$39))/Inputs!$D$79)</f>
        <v>12.845772260273975</v>
      </c>
    </row>
    <row r="11" spans="2:14" x14ac:dyDescent="0.25">
      <c r="B11" s="29" t="s">
        <v>439</v>
      </c>
      <c r="C11" s="29">
        <v>25</v>
      </c>
      <c r="D11" s="29">
        <v>70</v>
      </c>
      <c r="E11" s="25">
        <f>IF(0=1,0,(Stack!$C$7+Stack!$C$8+Stack!$C$10)*365*(Inputs!$D$40-Inputs!$D$41)/1000000)</f>
        <v>1.0041496499999998</v>
      </c>
      <c r="F11" s="25">
        <f>IF(OR(0=0,Inputs!$D$100=1),Inputs!$D$85*Inputs!$D$25*MAX(0,($C11+Inputs!$D$39)-Inputs!$D$34)/1000,0)</f>
        <v>0.90749999999999997</v>
      </c>
      <c r="G11" s="25">
        <f>Stack!$C$12*365*MAX(0,($C11+Inputs!$D$39)-Inputs!$D$44)/1000000*IF(0=1,1-Inputs!$D$53*Inputs!$D$97,1)</f>
        <v>1.4176376891990405</v>
      </c>
      <c r="H11" s="25">
        <f>(Inputs!$D$60+Inputs!$D$64*($D11-Inputs!$D$56)+Inputs!$D$65*(Scenarios!$C$7-16500)/100-IF(0=1,Inputs!$D$89*MAX(0,Inputs!$D$88*$D11/Inputs!$D$92-Inputs!$D$87)*Inputs!$D$98/1000,0))/Scenarios!$C$7*1000</f>
        <v>21.002349704854147</v>
      </c>
      <c r="I11" s="25">
        <f>IF(0=1,Inputs!$D$76*Inputs!$D$95*365*(Inputs!$D$40-Inputs!$D$41)/1000000,0)</f>
        <v>0</v>
      </c>
      <c r="J11" s="25">
        <f>IF(0=1,Inputs!$D$90*Inputs!$D$91*Inputs!$D$99/1000000/Scenarios!$C$7*1000,0)</f>
        <v>0</v>
      </c>
      <c r="K11" s="30">
        <f t="shared" si="0"/>
        <v>24.331637044053188</v>
      </c>
      <c r="L11" s="31">
        <f>K11*Scenarios!$C$7/1000</f>
        <v>424.56273478168407</v>
      </c>
      <c r="M11" s="25">
        <f>IF(0=0,(Stack!$C$8*Inputs!$D$32+IF(0=0,Inputs!$D$85*Inputs!$D$25*1000/365*0.5,0)*Inputs!$D$34+(Stack!$C$9-IF(0=0,Inputs!$D$85*Inputs!$D$25*1000/365*0.5,0))*($C11+Inputs!$D$39))/Inputs!$D$79,(Stack!$C$8*Inputs!$D$96+Stack!$C$9*($C11+Inputs!$D$39))/Inputs!$D$79)</f>
        <v>17.450498287671234</v>
      </c>
    </row>
    <row r="12" spans="2:14" x14ac:dyDescent="0.25">
      <c r="B12" s="29" t="s">
        <v>439</v>
      </c>
      <c r="C12" s="29">
        <v>25</v>
      </c>
      <c r="D12" s="29">
        <v>90</v>
      </c>
      <c r="E12" s="25">
        <f>IF(0=1,0,(Stack!$C$7+Stack!$C$8+Stack!$C$10)*365*(Inputs!$D$40-Inputs!$D$41)/1000000)</f>
        <v>1.0041496499999998</v>
      </c>
      <c r="F12" s="25">
        <f>IF(OR(0=0,Inputs!$D$100=1),Inputs!$D$85*Inputs!$D$25*MAX(0,($C12+Inputs!$D$39)-Inputs!$D$34)/1000,0)</f>
        <v>0.90749999999999997</v>
      </c>
      <c r="G12" s="25">
        <f>Stack!$C$12*365*MAX(0,($C12+Inputs!$D$39)-Inputs!$D$44)/1000000*IF(0=1,1-Inputs!$D$53*Inputs!$D$97,1)</f>
        <v>1.4176376891990405</v>
      </c>
      <c r="H12" s="25">
        <f>(Inputs!$D$60+Inputs!$D$64*($D12-Inputs!$D$56)+Inputs!$D$65*(Scenarios!$C$7-16500)/100-IF(0=1,Inputs!$D$89*MAX(0,Inputs!$D$88*$D12/Inputs!$D$92-Inputs!$D$87)*Inputs!$D$98/1000,0))/Scenarios!$C$7*1000</f>
        <v>25.587139664164138</v>
      </c>
      <c r="I12" s="25">
        <f>IF(0=1,Inputs!$D$76*Inputs!$D$95*365*(Inputs!$D$40-Inputs!$D$41)/1000000,0)</f>
        <v>0</v>
      </c>
      <c r="J12" s="25">
        <f>IF(0=1,Inputs!$D$90*Inputs!$D$91*Inputs!$D$99/1000000/Scenarios!$C$7*1000,0)</f>
        <v>0</v>
      </c>
      <c r="K12" s="30">
        <f t="shared" si="0"/>
        <v>28.916427003363179</v>
      </c>
      <c r="L12" s="31">
        <f>K12*Scenarios!$C$7/1000</f>
        <v>504.56273478168413</v>
      </c>
      <c r="M12" s="25">
        <f>IF(0=0,(Stack!$C$8*Inputs!$D$32+IF(0=0,Inputs!$D$85*Inputs!$D$25*1000/365*0.5,0)*Inputs!$D$34+(Stack!$C$9-IF(0=0,Inputs!$D$85*Inputs!$D$25*1000/365*0.5,0))*($C12+Inputs!$D$39))/Inputs!$D$79,(Stack!$C$8*Inputs!$D$96+Stack!$C$9*($C12+Inputs!$D$39))/Inputs!$D$79)</f>
        <v>17.450498287671234</v>
      </c>
    </row>
    <row r="13" spans="2:14" x14ac:dyDescent="0.25">
      <c r="B13" s="29" t="s">
        <v>439</v>
      </c>
      <c r="C13" s="29">
        <v>25</v>
      </c>
      <c r="D13" s="29">
        <v>110</v>
      </c>
      <c r="E13" s="25">
        <f>IF(0=1,0,(Stack!$C$7+Stack!$C$8+Stack!$C$10)*365*(Inputs!$D$40-Inputs!$D$41)/1000000)</f>
        <v>1.0041496499999998</v>
      </c>
      <c r="F13" s="25">
        <f>IF(OR(0=0,Inputs!$D$100=1),Inputs!$D$85*Inputs!$D$25*MAX(0,($C13+Inputs!$D$39)-Inputs!$D$34)/1000,0)</f>
        <v>0.90749999999999997</v>
      </c>
      <c r="G13" s="25">
        <f>Stack!$C$12*365*MAX(0,($C13+Inputs!$D$39)-Inputs!$D$44)/1000000*IF(0=1,1-Inputs!$D$53*Inputs!$D$97,1)</f>
        <v>1.4176376891990405</v>
      </c>
      <c r="H13" s="25">
        <f>(Inputs!$D$60+Inputs!$D$64*($D13-Inputs!$D$56)+Inputs!$D$65*(Scenarios!$C$7-16500)/100-IF(0=1,Inputs!$D$89*MAX(0,Inputs!$D$88*$D13/Inputs!$D$92-Inputs!$D$87)*Inputs!$D$98/1000,0))/Scenarios!$C$7*1000</f>
        <v>30.171929623474128</v>
      </c>
      <c r="I13" s="25">
        <f>IF(0=1,Inputs!$D$76*Inputs!$D$95*365*(Inputs!$D$40-Inputs!$D$41)/1000000,0)</f>
        <v>0</v>
      </c>
      <c r="J13" s="25">
        <f>IF(0=1,Inputs!$D$90*Inputs!$D$91*Inputs!$D$99/1000000/Scenarios!$C$7*1000,0)</f>
        <v>0</v>
      </c>
      <c r="K13" s="30">
        <f t="shared" si="0"/>
        <v>33.501216962673169</v>
      </c>
      <c r="L13" s="31">
        <f>K13*Scenarios!$C$7/1000</f>
        <v>584.56273478168407</v>
      </c>
      <c r="M13" s="25">
        <f>IF(0=0,(Stack!$C$8*Inputs!$D$32+IF(0=0,Inputs!$D$85*Inputs!$D$25*1000/365*0.5,0)*Inputs!$D$34+(Stack!$C$9-IF(0=0,Inputs!$D$85*Inputs!$D$25*1000/365*0.5,0))*($C13+Inputs!$D$39))/Inputs!$D$79,(Stack!$C$8*Inputs!$D$96+Stack!$C$9*($C13+Inputs!$D$39))/Inputs!$D$79)</f>
        <v>17.450498287671234</v>
      </c>
    </row>
    <row r="14" spans="2:14" x14ac:dyDescent="0.25">
      <c r="B14" s="29" t="s">
        <v>439</v>
      </c>
      <c r="C14" s="32">
        <f>Inputs!$D$37</f>
        <v>31.565000000000001</v>
      </c>
      <c r="D14" s="29">
        <v>70</v>
      </c>
      <c r="E14" s="25">
        <f>IF(0=1,0,(Stack!$C$7+Stack!$C$8+Stack!$C$10)*365*(Inputs!$D$40-Inputs!$D$41)/1000000)</f>
        <v>1.0041496499999998</v>
      </c>
      <c r="F14" s="25">
        <f>IF(OR(0=0,Inputs!$D$100=1),Inputs!$D$85*Inputs!$D$25*MAX(0,($C14+Inputs!$D$39)-Inputs!$D$34)/1000,0)</f>
        <v>1.3407899999999999</v>
      </c>
      <c r="G14" s="25">
        <f>Stack!$C$12*365*MAX(0,($C14+Inputs!$D$39)-Inputs!$D$44)/1000000*IF(0=1,1-Inputs!$D$53*Inputs!$D$97,1)</f>
        <v>1.973267028279142</v>
      </c>
      <c r="H14" s="25">
        <f>(Inputs!$D$60+Inputs!$D$64*($D14-Inputs!$D$56)+Inputs!$D$65*(Scenarios!$C$7-16500)/100-IF(0=1,Inputs!$D$89*MAX(0,Inputs!$D$88*$D14/Inputs!$D$92-Inputs!$D$87)*Inputs!$D$98/1000,0))/Scenarios!$C$7*1000</f>
        <v>21.002349704854147</v>
      </c>
      <c r="I14" s="25">
        <f>IF(0=1,Inputs!$D$76*Inputs!$D$95*365*(Inputs!$D$40-Inputs!$D$41)/1000000,0)</f>
        <v>0</v>
      </c>
      <c r="J14" s="25">
        <f>IF(0=1,Inputs!$D$90*Inputs!$D$91*Inputs!$D$99/1000000/Scenarios!$C$7*1000,0)</f>
        <v>0</v>
      </c>
      <c r="K14" s="30">
        <f t="shared" si="0"/>
        <v>25.320556383133287</v>
      </c>
      <c r="L14" s="31">
        <f>K14*Scenarios!$C$7/1000</f>
        <v>441.8183883292927</v>
      </c>
      <c r="M14" s="25">
        <f>IF(0=0,(Stack!$C$8*Inputs!$D$32+IF(0=0,Inputs!$D$85*Inputs!$D$25*1000/365*0.5,0)*Inputs!$D$34+(Stack!$C$9-IF(0=0,Inputs!$D$85*Inputs!$D$25*1000/365*0.5,0))*($C14+Inputs!$D$39))/Inputs!$D$79,(Stack!$C$8*Inputs!$D$96+Stack!$C$9*($C14+Inputs!$D$39))/Inputs!$D$79)</f>
        <v>20.473500924657536</v>
      </c>
    </row>
    <row r="15" spans="2:14" x14ac:dyDescent="0.25">
      <c r="B15" s="29" t="s">
        <v>439</v>
      </c>
      <c r="C15" s="32">
        <f>Inputs!$D$37</f>
        <v>31.565000000000001</v>
      </c>
      <c r="D15" s="29">
        <v>90</v>
      </c>
      <c r="E15" s="25">
        <f>IF(0=1,0,(Stack!$C$7+Stack!$C$8+Stack!$C$10)*365*(Inputs!$D$40-Inputs!$D$41)/1000000)</f>
        <v>1.0041496499999998</v>
      </c>
      <c r="F15" s="25">
        <f>IF(OR(0=0,Inputs!$D$100=1),Inputs!$D$85*Inputs!$D$25*MAX(0,($C15+Inputs!$D$39)-Inputs!$D$34)/1000,0)</f>
        <v>1.3407899999999999</v>
      </c>
      <c r="G15" s="25">
        <f>Stack!$C$12*365*MAX(0,($C15+Inputs!$D$39)-Inputs!$D$44)/1000000*IF(0=1,1-Inputs!$D$53*Inputs!$D$97,1)</f>
        <v>1.973267028279142</v>
      </c>
      <c r="H15" s="25">
        <f>(Inputs!$D$60+Inputs!$D$64*($D15-Inputs!$D$56)+Inputs!$D$65*(Scenarios!$C$7-16500)/100-IF(0=1,Inputs!$D$89*MAX(0,Inputs!$D$88*$D15/Inputs!$D$92-Inputs!$D$87)*Inputs!$D$98/1000,0))/Scenarios!$C$7*1000</f>
        <v>25.587139664164138</v>
      </c>
      <c r="I15" s="25">
        <f>IF(0=1,Inputs!$D$76*Inputs!$D$95*365*(Inputs!$D$40-Inputs!$D$41)/1000000,0)</f>
        <v>0</v>
      </c>
      <c r="J15" s="25">
        <f>IF(0=1,Inputs!$D$90*Inputs!$D$91*Inputs!$D$99/1000000/Scenarios!$C$7*1000,0)</f>
        <v>0</v>
      </c>
      <c r="K15" s="30">
        <f t="shared" si="0"/>
        <v>29.905346342443281</v>
      </c>
      <c r="L15" s="31">
        <f>K15*Scenarios!$C$7/1000</f>
        <v>521.81838832929282</v>
      </c>
      <c r="M15" s="25">
        <f>IF(0=0,(Stack!$C$8*Inputs!$D$32+IF(0=0,Inputs!$D$85*Inputs!$D$25*1000/365*0.5,0)*Inputs!$D$34+(Stack!$C$9-IF(0=0,Inputs!$D$85*Inputs!$D$25*1000/365*0.5,0))*($C15+Inputs!$D$39))/Inputs!$D$79,(Stack!$C$8*Inputs!$D$96+Stack!$C$9*($C15+Inputs!$D$39))/Inputs!$D$79)</f>
        <v>20.473500924657536</v>
      </c>
    </row>
    <row r="16" spans="2:14" x14ac:dyDescent="0.25">
      <c r="B16" s="29" t="s">
        <v>439</v>
      </c>
      <c r="C16" s="32">
        <f>Inputs!$D$37</f>
        <v>31.565000000000001</v>
      </c>
      <c r="D16" s="29">
        <v>110</v>
      </c>
      <c r="E16" s="25">
        <f>IF(0=1,0,(Stack!$C$7+Stack!$C$8+Stack!$C$10)*365*(Inputs!$D$40-Inputs!$D$41)/1000000)</f>
        <v>1.0041496499999998</v>
      </c>
      <c r="F16" s="25">
        <f>IF(OR(0=0,Inputs!$D$100=1),Inputs!$D$85*Inputs!$D$25*MAX(0,($C16+Inputs!$D$39)-Inputs!$D$34)/1000,0)</f>
        <v>1.3407899999999999</v>
      </c>
      <c r="G16" s="25">
        <f>Stack!$C$12*365*MAX(0,($C16+Inputs!$D$39)-Inputs!$D$44)/1000000*IF(0=1,1-Inputs!$D$53*Inputs!$D$97,1)</f>
        <v>1.973267028279142</v>
      </c>
      <c r="H16" s="25">
        <f>(Inputs!$D$60+Inputs!$D$64*($D16-Inputs!$D$56)+Inputs!$D$65*(Scenarios!$C$7-16500)/100-IF(0=1,Inputs!$D$89*MAX(0,Inputs!$D$88*$D16/Inputs!$D$92-Inputs!$D$87)*Inputs!$D$98/1000,0))/Scenarios!$C$7*1000</f>
        <v>30.171929623474128</v>
      </c>
      <c r="I16" s="25">
        <f>IF(0=1,Inputs!$D$76*Inputs!$D$95*365*(Inputs!$D$40-Inputs!$D$41)/1000000,0)</f>
        <v>0</v>
      </c>
      <c r="J16" s="25">
        <f>IF(0=1,Inputs!$D$90*Inputs!$D$91*Inputs!$D$99/1000000/Scenarios!$C$7*1000,0)</f>
        <v>0</v>
      </c>
      <c r="K16" s="30">
        <f t="shared" si="0"/>
        <v>34.490136301753267</v>
      </c>
      <c r="L16" s="31">
        <f>K16*Scenarios!$C$7/1000</f>
        <v>601.81838832929282</v>
      </c>
      <c r="M16" s="25">
        <f>IF(0=0,(Stack!$C$8*Inputs!$D$32+IF(0=0,Inputs!$D$85*Inputs!$D$25*1000/365*0.5,0)*Inputs!$D$34+(Stack!$C$9-IF(0=0,Inputs!$D$85*Inputs!$D$25*1000/365*0.5,0))*($C16+Inputs!$D$39))/Inputs!$D$79,(Stack!$C$8*Inputs!$D$96+Stack!$C$9*($C16+Inputs!$D$39))/Inputs!$D$79)</f>
        <v>20.473500924657536</v>
      </c>
    </row>
    <row r="17" spans="2:14" x14ac:dyDescent="0.25">
      <c r="B17" s="29" t="s">
        <v>610</v>
      </c>
      <c r="C17" s="29">
        <v>10</v>
      </c>
      <c r="D17" s="29">
        <v>70</v>
      </c>
      <c r="E17" s="25">
        <f>IF(1=1,0,(Stack!$C$7+Stack!$C$8+Stack!$C$10)*365*(Inputs!$D$40-Inputs!$D$41)/1000000)</f>
        <v>0</v>
      </c>
      <c r="F17" s="25">
        <f>IF(OR(1=0,Inputs!$D$100=1),Inputs!$D$85*Inputs!$D$25*MAX(0,($C17+Inputs!$D$39)-Inputs!$D$34)/1000,0)</f>
        <v>0</v>
      </c>
      <c r="G17" s="25">
        <f>Stack!$C$12*365*MAX(0,($C17+Inputs!$D$39)-Inputs!$D$44)/1000000*IF(1=1,1-Inputs!$D$53*Inputs!$D$97,1)</f>
        <v>3.5501213000851468E-2</v>
      </c>
      <c r="H17" s="25">
        <f>(Inputs!$D$60+Inputs!$D$64*($D17-Inputs!$D$56)+Inputs!$D$65*(Scenarios!$C$7-16500)/100-IF(1=1,Inputs!$D$89*MAX(0,Inputs!$D$88*$D17/Inputs!$D$92-Inputs!$D$87)*Inputs!$D$98/1000,0))/Scenarios!$C$7*1000</f>
        <v>19.303104284868287</v>
      </c>
      <c r="I17" s="25">
        <f>IF(1=1,Inputs!$D$76*Inputs!$D$95*365*(Inputs!$D$40-Inputs!$D$41)/1000000,0)</f>
        <v>0.32876082402234619</v>
      </c>
      <c r="J17" s="25">
        <f>IF(1=1,Inputs!$D$90*Inputs!$D$91*Inputs!$D$99/1000000/Scenarios!$C$7*1000,0)</f>
        <v>3.6146484039199955</v>
      </c>
      <c r="K17" s="30">
        <f t="shared" si="0"/>
        <v>23.282014725811482</v>
      </c>
      <c r="L17" s="31">
        <f>K17*Scenarios!$C$7/1000</f>
        <v>406.24787495068455</v>
      </c>
      <c r="M17" s="25">
        <f>IF(1=0,(Stack!$C$8*Inputs!$D$32+IF(1=0,Inputs!$D$85*Inputs!$D$25*1000/365*0.5,0)*Inputs!$D$34+(Stack!$C$9-IF(1=0,Inputs!$D$85*Inputs!$D$25*1000/365*0.5,0))*($C17+Inputs!$D$39))/Inputs!$D$79,(Stack!$C$8*Inputs!$D$96+Stack!$C$9*($C17+Inputs!$D$39))/Inputs!$D$79)</f>
        <v>11.075975000000001</v>
      </c>
      <c r="N17" s="25">
        <f t="shared" ref="N17:N28" si="1">K5-K17</f>
        <v>-1.1274039705932566</v>
      </c>
    </row>
    <row r="18" spans="2:14" x14ac:dyDescent="0.25">
      <c r="B18" s="29" t="s">
        <v>610</v>
      </c>
      <c r="C18" s="29">
        <v>10</v>
      </c>
      <c r="D18" s="29">
        <v>90</v>
      </c>
      <c r="E18" s="25">
        <f>IF(1=1,0,(Stack!$C$7+Stack!$C$8+Stack!$C$10)*365*(Inputs!$D$40-Inputs!$D$41)/1000000)</f>
        <v>0</v>
      </c>
      <c r="F18" s="25">
        <f>IF(OR(1=0,Inputs!$D$100=1),Inputs!$D$85*Inputs!$D$25*MAX(0,($C18+Inputs!$D$39)-Inputs!$D$34)/1000,0)</f>
        <v>0</v>
      </c>
      <c r="G18" s="25">
        <f>Stack!$C$12*365*MAX(0,($C18+Inputs!$D$39)-Inputs!$D$44)/1000000*IF(1=1,1-Inputs!$D$53*Inputs!$D$97,1)</f>
        <v>3.5501213000851468E-2</v>
      </c>
      <c r="H18" s="25">
        <f>(Inputs!$D$60+Inputs!$D$64*($D18-Inputs!$D$56)+Inputs!$D$65*(Scenarios!$C$7-16500)/100-IF(1=1,Inputs!$D$89*MAX(0,Inputs!$D$88*$D18/Inputs!$D$92-Inputs!$D$87)*Inputs!$D$98/1000,0))/Scenarios!$C$7*1000</f>
        <v>21.006842799014272</v>
      </c>
      <c r="I18" s="25">
        <f>IF(1=1,Inputs!$D$76*Inputs!$D$95*365*(Inputs!$D$40-Inputs!$D$41)/1000000,0)</f>
        <v>0.32876082402234619</v>
      </c>
      <c r="J18" s="25">
        <f>IF(1=1,Inputs!$D$90*Inputs!$D$91*Inputs!$D$99/1000000/Scenarios!$C$7*1000,0)</f>
        <v>3.6146484039199955</v>
      </c>
      <c r="K18" s="30">
        <f t="shared" si="0"/>
        <v>24.985753239957468</v>
      </c>
      <c r="L18" s="31">
        <f>K18*Scenarios!$C$7/1000</f>
        <v>435.97640828401785</v>
      </c>
      <c r="M18" s="25">
        <f>IF(1=0,(Stack!$C$8*Inputs!$D$32+IF(1=0,Inputs!$D$85*Inputs!$D$25*1000/365*0.5,0)*Inputs!$D$34+(Stack!$C$9-IF(1=0,Inputs!$D$85*Inputs!$D$25*1000/365*0.5,0))*($C18+Inputs!$D$39))/Inputs!$D$79,(Stack!$C$8*Inputs!$D$96+Stack!$C$9*($C18+Inputs!$D$39))/Inputs!$D$79)</f>
        <v>11.075975000000001</v>
      </c>
      <c r="N18" s="25">
        <f t="shared" si="1"/>
        <v>1.753647474570748</v>
      </c>
    </row>
    <row r="19" spans="2:14" x14ac:dyDescent="0.25">
      <c r="B19" s="29" t="s">
        <v>610</v>
      </c>
      <c r="C19" s="29">
        <v>10</v>
      </c>
      <c r="D19" s="29">
        <v>110</v>
      </c>
      <c r="E19" s="25">
        <f>IF(1=1,0,(Stack!$C$7+Stack!$C$8+Stack!$C$10)*365*(Inputs!$D$40-Inputs!$D$41)/1000000)</f>
        <v>0</v>
      </c>
      <c r="F19" s="25">
        <f>IF(OR(1=0,Inputs!$D$100=1),Inputs!$D$85*Inputs!$D$25*MAX(0,($C19+Inputs!$D$39)-Inputs!$D$34)/1000,0)</f>
        <v>0</v>
      </c>
      <c r="G19" s="25">
        <f>Stack!$C$12*365*MAX(0,($C19+Inputs!$D$39)-Inputs!$D$44)/1000000*IF(1=1,1-Inputs!$D$53*Inputs!$D$97,1)</f>
        <v>3.5501213000851468E-2</v>
      </c>
      <c r="H19" s="25">
        <f>(Inputs!$D$60+Inputs!$D$64*($D19-Inputs!$D$56)+Inputs!$D$65*(Scenarios!$C$7-16500)/100-IF(1=1,Inputs!$D$89*MAX(0,Inputs!$D$88*$D19/Inputs!$D$92-Inputs!$D$87)*Inputs!$D$98/1000,0))/Scenarios!$C$7*1000</f>
        <v>22.710581313160258</v>
      </c>
      <c r="I19" s="25">
        <f>IF(1=1,Inputs!$D$76*Inputs!$D$95*365*(Inputs!$D$40-Inputs!$D$41)/1000000,0)</f>
        <v>0.32876082402234619</v>
      </c>
      <c r="J19" s="25">
        <f>IF(1=1,Inputs!$D$90*Inputs!$D$91*Inputs!$D$99/1000000/Scenarios!$C$7*1000,0)</f>
        <v>3.6146484039199955</v>
      </c>
      <c r="K19" s="30">
        <f t="shared" si="0"/>
        <v>26.689491754103454</v>
      </c>
      <c r="L19" s="31">
        <f>K19*Scenarios!$C$7/1000</f>
        <v>465.70494161735115</v>
      </c>
      <c r="M19" s="25">
        <f>IF(1=0,(Stack!$C$8*Inputs!$D$32+IF(1=0,Inputs!$D$85*Inputs!$D$25*1000/365*0.5,0)*Inputs!$D$34+(Stack!$C$9-IF(1=0,Inputs!$D$85*Inputs!$D$25*1000/365*0.5,0))*($C19+Inputs!$D$39))/Inputs!$D$79,(Stack!$C$8*Inputs!$D$96+Stack!$C$9*($C19+Inputs!$D$39))/Inputs!$D$79)</f>
        <v>11.075975000000001</v>
      </c>
      <c r="N19" s="25">
        <f t="shared" si="1"/>
        <v>4.6346989197347526</v>
      </c>
    </row>
    <row r="20" spans="2:14" x14ac:dyDescent="0.25">
      <c r="B20" s="29" t="s">
        <v>610</v>
      </c>
      <c r="C20" s="29">
        <v>15</v>
      </c>
      <c r="D20" s="29">
        <v>70</v>
      </c>
      <c r="E20" s="25">
        <f>IF(1=1,0,(Stack!$C$7+Stack!$C$8+Stack!$C$10)*365*(Inputs!$D$40-Inputs!$D$41)/1000000)</f>
        <v>0</v>
      </c>
      <c r="F20" s="25">
        <f>IF(OR(1=0,Inputs!$D$100=1),Inputs!$D$85*Inputs!$D$25*MAX(0,($C20+Inputs!$D$39)-Inputs!$D$34)/1000,0)</f>
        <v>0</v>
      </c>
      <c r="G20" s="25">
        <f>Stack!$C$12*365*MAX(0,($C20+Inputs!$D$39)-Inputs!$D$44)/1000000*IF(1=1,1-Inputs!$D$53*Inputs!$D$97,1)</f>
        <v>0.13693325014614136</v>
      </c>
      <c r="H20" s="25">
        <f>(Inputs!$D$60+Inputs!$D$64*($D20-Inputs!$D$56)+Inputs!$D$65*(Scenarios!$C$7-16500)/100-IF(1=1,Inputs!$D$89*MAX(0,Inputs!$D$88*$D20/Inputs!$D$92-Inputs!$D$87)*Inputs!$D$98/1000,0))/Scenarios!$C$7*1000</f>
        <v>19.303104284868287</v>
      </c>
      <c r="I20" s="25">
        <f>IF(1=1,Inputs!$D$76*Inputs!$D$95*365*(Inputs!$D$40-Inputs!$D$41)/1000000,0)</f>
        <v>0.32876082402234619</v>
      </c>
      <c r="J20" s="25">
        <f>IF(1=1,Inputs!$D$90*Inputs!$D$91*Inputs!$D$99/1000000/Scenarios!$C$7*1000,0)</f>
        <v>3.6146484039199955</v>
      </c>
      <c r="K20" s="30">
        <f t="shared" si="0"/>
        <v>23.383446762956773</v>
      </c>
      <c r="L20" s="31">
        <f>K20*Scenarios!$C$7/1000</f>
        <v>408.01776256683269</v>
      </c>
      <c r="M20" s="25">
        <f>IF(1=0,(Stack!$C$8*Inputs!$D$32+IF(1=0,Inputs!$D$85*Inputs!$D$25*1000/365*0.5,0)*Inputs!$D$34+(Stack!$C$9-IF(1=0,Inputs!$D$85*Inputs!$D$25*1000/365*0.5,0))*($C20+Inputs!$D$39))/Inputs!$D$79,(Stack!$C$8*Inputs!$D$96+Stack!$C$9*($C20+Inputs!$D$39))/Inputs!$D$79)</f>
        <v>14.508475000000001</v>
      </c>
      <c r="N20" s="25">
        <f t="shared" si="1"/>
        <v>-0.55816057812689124</v>
      </c>
    </row>
    <row r="21" spans="2:14" x14ac:dyDescent="0.25">
      <c r="B21" s="29" t="s">
        <v>610</v>
      </c>
      <c r="C21" s="29">
        <v>15</v>
      </c>
      <c r="D21" s="29">
        <v>90</v>
      </c>
      <c r="E21" s="25">
        <f>IF(1=1,0,(Stack!$C$7+Stack!$C$8+Stack!$C$10)*365*(Inputs!$D$40-Inputs!$D$41)/1000000)</f>
        <v>0</v>
      </c>
      <c r="F21" s="25">
        <f>IF(OR(1=0,Inputs!$D$100=1),Inputs!$D$85*Inputs!$D$25*MAX(0,($C21+Inputs!$D$39)-Inputs!$D$34)/1000,0)</f>
        <v>0</v>
      </c>
      <c r="G21" s="25">
        <f>Stack!$C$12*365*MAX(0,($C21+Inputs!$D$39)-Inputs!$D$44)/1000000*IF(1=1,1-Inputs!$D$53*Inputs!$D$97,1)</f>
        <v>0.13693325014614136</v>
      </c>
      <c r="H21" s="25">
        <f>(Inputs!$D$60+Inputs!$D$64*($D21-Inputs!$D$56)+Inputs!$D$65*(Scenarios!$C$7-16500)/100-IF(1=1,Inputs!$D$89*MAX(0,Inputs!$D$88*$D21/Inputs!$D$92-Inputs!$D$87)*Inputs!$D$98/1000,0))/Scenarios!$C$7*1000</f>
        <v>21.006842799014272</v>
      </c>
      <c r="I21" s="25">
        <f>IF(1=1,Inputs!$D$76*Inputs!$D$95*365*(Inputs!$D$40-Inputs!$D$41)/1000000,0)</f>
        <v>0.32876082402234619</v>
      </c>
      <c r="J21" s="25">
        <f>IF(1=1,Inputs!$D$90*Inputs!$D$91*Inputs!$D$99/1000000/Scenarios!$C$7*1000,0)</f>
        <v>3.6146484039199955</v>
      </c>
      <c r="K21" s="30">
        <f t="shared" si="0"/>
        <v>25.087185277102758</v>
      </c>
      <c r="L21" s="31">
        <f>K21*Scenarios!$C$7/1000</f>
        <v>437.74629590016605</v>
      </c>
      <c r="M21" s="25">
        <f>IF(1=0,(Stack!$C$8*Inputs!$D$32+IF(1=0,Inputs!$D$85*Inputs!$D$25*1000/365*0.5,0)*Inputs!$D$34+(Stack!$C$9-IF(1=0,Inputs!$D$85*Inputs!$D$25*1000/365*0.5,0))*($C21+Inputs!$D$39))/Inputs!$D$79,(Stack!$C$8*Inputs!$D$96+Stack!$C$9*($C21+Inputs!$D$39))/Inputs!$D$79)</f>
        <v>14.508475000000001</v>
      </c>
      <c r="N21" s="25">
        <f t="shared" si="1"/>
        <v>2.3228908670371133</v>
      </c>
    </row>
    <row r="22" spans="2:14" x14ac:dyDescent="0.25">
      <c r="B22" s="29" t="s">
        <v>610</v>
      </c>
      <c r="C22" s="29">
        <v>15</v>
      </c>
      <c r="D22" s="29">
        <v>110</v>
      </c>
      <c r="E22" s="25">
        <f>IF(1=1,0,(Stack!$C$7+Stack!$C$8+Stack!$C$10)*365*(Inputs!$D$40-Inputs!$D$41)/1000000)</f>
        <v>0</v>
      </c>
      <c r="F22" s="25">
        <f>IF(OR(1=0,Inputs!$D$100=1),Inputs!$D$85*Inputs!$D$25*MAX(0,($C22+Inputs!$D$39)-Inputs!$D$34)/1000,0)</f>
        <v>0</v>
      </c>
      <c r="G22" s="25">
        <f>Stack!$C$12*365*MAX(0,($C22+Inputs!$D$39)-Inputs!$D$44)/1000000*IF(1=1,1-Inputs!$D$53*Inputs!$D$97,1)</f>
        <v>0.13693325014614136</v>
      </c>
      <c r="H22" s="25">
        <f>(Inputs!$D$60+Inputs!$D$64*($D22-Inputs!$D$56)+Inputs!$D$65*(Scenarios!$C$7-16500)/100-IF(1=1,Inputs!$D$89*MAX(0,Inputs!$D$88*$D22/Inputs!$D$92-Inputs!$D$87)*Inputs!$D$98/1000,0))/Scenarios!$C$7*1000</f>
        <v>22.710581313160258</v>
      </c>
      <c r="I22" s="25">
        <f>IF(1=1,Inputs!$D$76*Inputs!$D$95*365*(Inputs!$D$40-Inputs!$D$41)/1000000,0)</f>
        <v>0.32876082402234619</v>
      </c>
      <c r="J22" s="25">
        <f>IF(1=1,Inputs!$D$90*Inputs!$D$91*Inputs!$D$99/1000000/Scenarios!$C$7*1000,0)</f>
        <v>3.6146484039199955</v>
      </c>
      <c r="K22" s="30">
        <f t="shared" si="0"/>
        <v>26.790923791248744</v>
      </c>
      <c r="L22" s="31">
        <f>K22*Scenarios!$C$7/1000</f>
        <v>467.47482923349935</v>
      </c>
      <c r="M22" s="25">
        <f>IF(1=0,(Stack!$C$8*Inputs!$D$32+IF(1=0,Inputs!$D$85*Inputs!$D$25*1000/365*0.5,0)*Inputs!$D$34+(Stack!$C$9-IF(1=0,Inputs!$D$85*Inputs!$D$25*1000/365*0.5,0))*($C22+Inputs!$D$39))/Inputs!$D$79,(Stack!$C$8*Inputs!$D$96+Stack!$C$9*($C22+Inputs!$D$39))/Inputs!$D$79)</f>
        <v>14.508475000000001</v>
      </c>
      <c r="N22" s="25">
        <f t="shared" si="1"/>
        <v>5.2039423122011179</v>
      </c>
    </row>
    <row r="23" spans="2:14" x14ac:dyDescent="0.25">
      <c r="B23" s="29" t="s">
        <v>610</v>
      </c>
      <c r="C23" s="29">
        <v>25</v>
      </c>
      <c r="D23" s="29">
        <v>70</v>
      </c>
      <c r="E23" s="25">
        <f>IF(1=1,0,(Stack!$C$7+Stack!$C$8+Stack!$C$10)*365*(Inputs!$D$40-Inputs!$D$41)/1000000)</f>
        <v>0</v>
      </c>
      <c r="F23" s="25">
        <f>IF(OR(1=0,Inputs!$D$100=1),Inputs!$D$85*Inputs!$D$25*MAX(0,($C23+Inputs!$D$39)-Inputs!$D$34)/1000,0)</f>
        <v>0</v>
      </c>
      <c r="G23" s="25">
        <f>Stack!$C$12*365*MAX(0,($C23+Inputs!$D$39)-Inputs!$D$44)/1000000*IF(1=1,1-Inputs!$D$53*Inputs!$D$97,1)</f>
        <v>0.33979732443672117</v>
      </c>
      <c r="H23" s="25">
        <f>(Inputs!$D$60+Inputs!$D$64*($D23-Inputs!$D$56)+Inputs!$D$65*(Scenarios!$C$7-16500)/100-IF(1=1,Inputs!$D$89*MAX(0,Inputs!$D$88*$D23/Inputs!$D$92-Inputs!$D$87)*Inputs!$D$98/1000,0))/Scenarios!$C$7*1000</f>
        <v>19.303104284868287</v>
      </c>
      <c r="I23" s="25">
        <f>IF(1=1,Inputs!$D$76*Inputs!$D$95*365*(Inputs!$D$40-Inputs!$D$41)/1000000,0)</f>
        <v>0.32876082402234619</v>
      </c>
      <c r="J23" s="25">
        <f>IF(1=1,Inputs!$D$90*Inputs!$D$91*Inputs!$D$99/1000000/Scenarios!$C$7*1000,0)</f>
        <v>3.6146484039199955</v>
      </c>
      <c r="K23" s="30">
        <f t="shared" si="0"/>
        <v>23.58631083724735</v>
      </c>
      <c r="L23" s="31">
        <f>K23*Scenarios!$C$7/1000</f>
        <v>411.55753779912902</v>
      </c>
      <c r="M23" s="25">
        <f>IF(1=0,(Stack!$C$8*Inputs!$D$32+IF(1=0,Inputs!$D$85*Inputs!$D$25*1000/365*0.5,0)*Inputs!$D$34+(Stack!$C$9-IF(1=0,Inputs!$D$85*Inputs!$D$25*1000/365*0.5,0))*($C23+Inputs!$D$39))/Inputs!$D$79,(Stack!$C$8*Inputs!$D$96+Stack!$C$9*($C23+Inputs!$D$39))/Inputs!$D$79)</f>
        <v>21.373474999999999</v>
      </c>
      <c r="N23" s="25">
        <f t="shared" si="1"/>
        <v>0.74532620680583861</v>
      </c>
    </row>
    <row r="24" spans="2:14" x14ac:dyDescent="0.25">
      <c r="B24" s="29" t="s">
        <v>610</v>
      </c>
      <c r="C24" s="29">
        <v>25</v>
      </c>
      <c r="D24" s="29">
        <v>90</v>
      </c>
      <c r="E24" s="25">
        <f>IF(1=1,0,(Stack!$C$7+Stack!$C$8+Stack!$C$10)*365*(Inputs!$D$40-Inputs!$D$41)/1000000)</f>
        <v>0</v>
      </c>
      <c r="F24" s="25">
        <f>IF(OR(1=0,Inputs!$D$100=1),Inputs!$D$85*Inputs!$D$25*MAX(0,($C24+Inputs!$D$39)-Inputs!$D$34)/1000,0)</f>
        <v>0</v>
      </c>
      <c r="G24" s="25">
        <f>Stack!$C$12*365*MAX(0,($C24+Inputs!$D$39)-Inputs!$D$44)/1000000*IF(1=1,1-Inputs!$D$53*Inputs!$D$97,1)</f>
        <v>0.33979732443672117</v>
      </c>
      <c r="H24" s="25">
        <f>(Inputs!$D$60+Inputs!$D$64*($D24-Inputs!$D$56)+Inputs!$D$65*(Scenarios!$C$7-16500)/100-IF(1=1,Inputs!$D$89*MAX(0,Inputs!$D$88*$D24/Inputs!$D$92-Inputs!$D$87)*Inputs!$D$98/1000,0))/Scenarios!$C$7*1000</f>
        <v>21.006842799014272</v>
      </c>
      <c r="I24" s="25">
        <f>IF(1=1,Inputs!$D$76*Inputs!$D$95*365*(Inputs!$D$40-Inputs!$D$41)/1000000,0)</f>
        <v>0.32876082402234619</v>
      </c>
      <c r="J24" s="25">
        <f>IF(1=1,Inputs!$D$90*Inputs!$D$91*Inputs!$D$99/1000000/Scenarios!$C$7*1000,0)</f>
        <v>3.6146484039199955</v>
      </c>
      <c r="K24" s="30">
        <f t="shared" si="0"/>
        <v>25.290049351393336</v>
      </c>
      <c r="L24" s="31">
        <f>K24*Scenarios!$C$7/1000</f>
        <v>441.28607113246233</v>
      </c>
      <c r="M24" s="25">
        <f>IF(1=0,(Stack!$C$8*Inputs!$D$32+IF(1=0,Inputs!$D$85*Inputs!$D$25*1000/365*0.5,0)*Inputs!$D$34+(Stack!$C$9-IF(1=0,Inputs!$D$85*Inputs!$D$25*1000/365*0.5,0))*($C24+Inputs!$D$39))/Inputs!$D$79,(Stack!$C$8*Inputs!$D$96+Stack!$C$9*($C24+Inputs!$D$39))/Inputs!$D$79)</f>
        <v>21.373474999999999</v>
      </c>
      <c r="N24" s="25">
        <f t="shared" si="1"/>
        <v>3.6263776519698432</v>
      </c>
    </row>
    <row r="25" spans="2:14" x14ac:dyDescent="0.25">
      <c r="B25" s="29" t="s">
        <v>610</v>
      </c>
      <c r="C25" s="29">
        <v>25</v>
      </c>
      <c r="D25" s="29">
        <v>110</v>
      </c>
      <c r="E25" s="25">
        <f>IF(1=1,0,(Stack!$C$7+Stack!$C$8+Stack!$C$10)*365*(Inputs!$D$40-Inputs!$D$41)/1000000)</f>
        <v>0</v>
      </c>
      <c r="F25" s="25">
        <f>IF(OR(1=0,Inputs!$D$100=1),Inputs!$D$85*Inputs!$D$25*MAX(0,($C25+Inputs!$D$39)-Inputs!$D$34)/1000,0)</f>
        <v>0</v>
      </c>
      <c r="G25" s="25">
        <f>Stack!$C$12*365*MAX(0,($C25+Inputs!$D$39)-Inputs!$D$44)/1000000*IF(1=1,1-Inputs!$D$53*Inputs!$D$97,1)</f>
        <v>0.33979732443672117</v>
      </c>
      <c r="H25" s="25">
        <f>(Inputs!$D$60+Inputs!$D$64*($D25-Inputs!$D$56)+Inputs!$D$65*(Scenarios!$C$7-16500)/100-IF(1=1,Inputs!$D$89*MAX(0,Inputs!$D$88*$D25/Inputs!$D$92-Inputs!$D$87)*Inputs!$D$98/1000,0))/Scenarios!$C$7*1000</f>
        <v>22.710581313160258</v>
      </c>
      <c r="I25" s="25">
        <f>IF(1=1,Inputs!$D$76*Inputs!$D$95*365*(Inputs!$D$40-Inputs!$D$41)/1000000,0)</f>
        <v>0.32876082402234619</v>
      </c>
      <c r="J25" s="25">
        <f>IF(1=1,Inputs!$D$90*Inputs!$D$91*Inputs!$D$99/1000000/Scenarios!$C$7*1000,0)</f>
        <v>3.6146484039199955</v>
      </c>
      <c r="K25" s="30">
        <f t="shared" si="0"/>
        <v>26.993787865539321</v>
      </c>
      <c r="L25" s="31">
        <f>K25*Scenarios!$C$7/1000</f>
        <v>471.01460446579563</v>
      </c>
      <c r="M25" s="25">
        <f>IF(1=0,(Stack!$C$8*Inputs!$D$32+IF(1=0,Inputs!$D$85*Inputs!$D$25*1000/365*0.5,0)*Inputs!$D$34+(Stack!$C$9-IF(1=0,Inputs!$D$85*Inputs!$D$25*1000/365*0.5,0))*($C25+Inputs!$D$39))/Inputs!$D$79,(Stack!$C$8*Inputs!$D$96+Stack!$C$9*($C25+Inputs!$D$39))/Inputs!$D$79)</f>
        <v>21.373474999999999</v>
      </c>
      <c r="N25" s="25">
        <f t="shared" si="1"/>
        <v>6.5074290971338478</v>
      </c>
    </row>
    <row r="26" spans="2:14" x14ac:dyDescent="0.25">
      <c r="B26" s="29" t="s">
        <v>610</v>
      </c>
      <c r="C26" s="32">
        <f>Inputs!$D$37</f>
        <v>31.565000000000001</v>
      </c>
      <c r="D26" s="29">
        <v>70</v>
      </c>
      <c r="E26" s="25">
        <f>IF(1=1,0,(Stack!$C$7+Stack!$C$8+Stack!$C$10)*365*(Inputs!$D$40-Inputs!$D$41)/1000000)</f>
        <v>0</v>
      </c>
      <c r="F26" s="25">
        <f>IF(OR(1=0,Inputs!$D$100=1),Inputs!$D$85*Inputs!$D$25*MAX(0,($C26+Inputs!$D$39)-Inputs!$D$34)/1000,0)</f>
        <v>0</v>
      </c>
      <c r="G26" s="25">
        <f>Stack!$C$12*365*MAX(0,($C26+Inputs!$D$39)-Inputs!$D$44)/1000000*IF(1=1,1-Inputs!$D$53*Inputs!$D$97,1)</f>
        <v>0.47297758920848676</v>
      </c>
      <c r="H26" s="25">
        <f>(Inputs!$D$60+Inputs!$D$64*($D26-Inputs!$D$56)+Inputs!$D$65*(Scenarios!$C$7-16500)/100-IF(1=1,Inputs!$D$89*MAX(0,Inputs!$D$88*$D26/Inputs!$D$92-Inputs!$D$87)*Inputs!$D$98/1000,0))/Scenarios!$C$7*1000</f>
        <v>19.303104284868287</v>
      </c>
      <c r="I26" s="25">
        <f>IF(1=1,Inputs!$D$76*Inputs!$D$95*365*(Inputs!$D$40-Inputs!$D$41)/1000000,0)</f>
        <v>0.32876082402234619</v>
      </c>
      <c r="J26" s="25">
        <f>IF(1=1,Inputs!$D$90*Inputs!$D$91*Inputs!$D$99/1000000/Scenarios!$C$7*1000,0)</f>
        <v>3.6146484039199955</v>
      </c>
      <c r="K26" s="30">
        <f t="shared" si="0"/>
        <v>23.719491102019116</v>
      </c>
      <c r="L26" s="31">
        <f>K26*Scenarios!$C$7/1000</f>
        <v>413.88140023913161</v>
      </c>
      <c r="M26" s="25">
        <f>IF(1=0,(Stack!$C$8*Inputs!$D$32+IF(1=0,Inputs!$D$85*Inputs!$D$25*1000/365*0.5,0)*Inputs!$D$34+(Stack!$C$9-IF(1=0,Inputs!$D$85*Inputs!$D$25*1000/365*0.5,0))*($C26+Inputs!$D$39))/Inputs!$D$79,(Stack!$C$8*Inputs!$D$96+Stack!$C$9*($C26+Inputs!$D$39))/Inputs!$D$79)</f>
        <v>25.880347500000003</v>
      </c>
      <c r="N26" s="25">
        <f t="shared" si="1"/>
        <v>1.6010652811141703</v>
      </c>
    </row>
    <row r="27" spans="2:14" x14ac:dyDescent="0.25">
      <c r="B27" s="29" t="s">
        <v>610</v>
      </c>
      <c r="C27" s="32">
        <f>Inputs!$D$37</f>
        <v>31.565000000000001</v>
      </c>
      <c r="D27" s="29">
        <v>90</v>
      </c>
      <c r="E27" s="25">
        <f>IF(1=1,0,(Stack!$C$7+Stack!$C$8+Stack!$C$10)*365*(Inputs!$D$40-Inputs!$D$41)/1000000)</f>
        <v>0</v>
      </c>
      <c r="F27" s="25">
        <f>IF(OR(1=0,Inputs!$D$100=1),Inputs!$D$85*Inputs!$D$25*MAX(0,($C27+Inputs!$D$39)-Inputs!$D$34)/1000,0)</f>
        <v>0</v>
      </c>
      <c r="G27" s="25">
        <f>Stack!$C$12*365*MAX(0,($C27+Inputs!$D$39)-Inputs!$D$44)/1000000*IF(1=1,1-Inputs!$D$53*Inputs!$D$97,1)</f>
        <v>0.47297758920848676</v>
      </c>
      <c r="H27" s="25">
        <f>(Inputs!$D$60+Inputs!$D$64*($D27-Inputs!$D$56)+Inputs!$D$65*(Scenarios!$C$7-16500)/100-IF(1=1,Inputs!$D$89*MAX(0,Inputs!$D$88*$D27/Inputs!$D$92-Inputs!$D$87)*Inputs!$D$98/1000,0))/Scenarios!$C$7*1000</f>
        <v>21.006842799014272</v>
      </c>
      <c r="I27" s="25">
        <f>IF(1=1,Inputs!$D$76*Inputs!$D$95*365*(Inputs!$D$40-Inputs!$D$41)/1000000,0)</f>
        <v>0.32876082402234619</v>
      </c>
      <c r="J27" s="25">
        <f>IF(1=1,Inputs!$D$90*Inputs!$D$91*Inputs!$D$99/1000000/Scenarios!$C$7*1000,0)</f>
        <v>3.6146484039199955</v>
      </c>
      <c r="K27" s="30">
        <f t="shared" si="0"/>
        <v>25.423229616165102</v>
      </c>
      <c r="L27" s="31">
        <f>K27*Scenarios!$C$7/1000</f>
        <v>443.60993357246485</v>
      </c>
      <c r="M27" s="25">
        <f>IF(1=0,(Stack!$C$8*Inputs!$D$32+IF(1=0,Inputs!$D$85*Inputs!$D$25*1000/365*0.5,0)*Inputs!$D$34+(Stack!$C$9-IF(1=0,Inputs!$D$85*Inputs!$D$25*1000/365*0.5,0))*($C27+Inputs!$D$39))/Inputs!$D$79,(Stack!$C$8*Inputs!$D$96+Stack!$C$9*($C27+Inputs!$D$39))/Inputs!$D$79)</f>
        <v>25.880347500000003</v>
      </c>
      <c r="N27" s="25">
        <f t="shared" si="1"/>
        <v>4.4821167262781785</v>
      </c>
    </row>
    <row r="28" spans="2:14" x14ac:dyDescent="0.25">
      <c r="B28" s="29" t="s">
        <v>610</v>
      </c>
      <c r="C28" s="32">
        <f>Inputs!$D$37</f>
        <v>31.565000000000001</v>
      </c>
      <c r="D28" s="29">
        <v>110</v>
      </c>
      <c r="E28" s="25">
        <f>IF(1=1,0,(Stack!$C$7+Stack!$C$8+Stack!$C$10)*365*(Inputs!$D$40-Inputs!$D$41)/1000000)</f>
        <v>0</v>
      </c>
      <c r="F28" s="25">
        <f>IF(OR(1=0,Inputs!$D$100=1),Inputs!$D$85*Inputs!$D$25*MAX(0,($C28+Inputs!$D$39)-Inputs!$D$34)/1000,0)</f>
        <v>0</v>
      </c>
      <c r="G28" s="25">
        <f>Stack!$C$12*365*MAX(0,($C28+Inputs!$D$39)-Inputs!$D$44)/1000000*IF(1=1,1-Inputs!$D$53*Inputs!$D$97,1)</f>
        <v>0.47297758920848676</v>
      </c>
      <c r="H28" s="25">
        <f>(Inputs!$D$60+Inputs!$D$64*($D28-Inputs!$D$56)+Inputs!$D$65*(Scenarios!$C$7-16500)/100-IF(1=1,Inputs!$D$89*MAX(0,Inputs!$D$88*$D28/Inputs!$D$92-Inputs!$D$87)*Inputs!$D$98/1000,0))/Scenarios!$C$7*1000</f>
        <v>22.710581313160258</v>
      </c>
      <c r="I28" s="25">
        <f>IF(1=1,Inputs!$D$76*Inputs!$D$95*365*(Inputs!$D$40-Inputs!$D$41)/1000000,0)</f>
        <v>0.32876082402234619</v>
      </c>
      <c r="J28" s="25">
        <f>IF(1=1,Inputs!$D$90*Inputs!$D$91*Inputs!$D$99/1000000/Scenarios!$C$7*1000,0)</f>
        <v>3.6146484039199955</v>
      </c>
      <c r="K28" s="30">
        <f t="shared" si="0"/>
        <v>27.126968130311088</v>
      </c>
      <c r="L28" s="31">
        <f>K28*Scenarios!$C$7/1000</f>
        <v>473.33846690579816</v>
      </c>
      <c r="M28" s="25">
        <f>IF(1=0,(Stack!$C$8*Inputs!$D$32+IF(1=0,Inputs!$D$85*Inputs!$D$25*1000/365*0.5,0)*Inputs!$D$34+(Stack!$C$9-IF(1=0,Inputs!$D$85*Inputs!$D$25*1000/365*0.5,0))*($C28+Inputs!$D$39))/Inputs!$D$79,(Stack!$C$8*Inputs!$D$96+Stack!$C$9*($C28+Inputs!$D$39))/Inputs!$D$79)</f>
        <v>25.880347500000003</v>
      </c>
      <c r="N28" s="25">
        <f t="shared" si="1"/>
        <v>7.3631681714421795</v>
      </c>
    </row>
    <row r="30" spans="2:14" x14ac:dyDescent="0.25">
      <c r="B30" s="8" t="s">
        <v>611</v>
      </c>
    </row>
    <row r="33" spans="2:5" x14ac:dyDescent="0.25">
      <c r="B33" s="2" t="s">
        <v>612</v>
      </c>
    </row>
    <row r="34" spans="2:5" x14ac:dyDescent="0.25">
      <c r="B34" s="3" t="s">
        <v>613</v>
      </c>
    </row>
    <row r="35" spans="2:5" x14ac:dyDescent="0.25">
      <c r="B35" s="6" t="s">
        <v>614</v>
      </c>
      <c r="E35" s="24">
        <f>Inputs!$D$31</f>
        <v>6.5</v>
      </c>
    </row>
    <row r="36" spans="2:5" x14ac:dyDescent="0.25">
      <c r="B36" s="6" t="s">
        <v>615</v>
      </c>
      <c r="E36" s="24">
        <f>Inputs!$D$32</f>
        <v>7</v>
      </c>
    </row>
    <row r="37" spans="2:5" x14ac:dyDescent="0.25">
      <c r="B37" s="6" t="s">
        <v>616</v>
      </c>
      <c r="E37" s="24">
        <f>Inputs!$D$33</f>
        <v>9.6</v>
      </c>
    </row>
    <row r="38" spans="2:5" x14ac:dyDescent="0.25">
      <c r="B38" s="6" t="s">
        <v>617</v>
      </c>
      <c r="E38" s="24">
        <f>Inputs!$D$34</f>
        <v>13</v>
      </c>
    </row>
    <row r="39" spans="2:5" x14ac:dyDescent="0.25">
      <c r="B39" s="6" t="s">
        <v>618</v>
      </c>
      <c r="E39" s="24">
        <f>Inputs!$D$35</f>
        <v>14.94</v>
      </c>
    </row>
    <row r="40" spans="2:5" x14ac:dyDescent="0.25">
      <c r="B40" s="6" t="s">
        <v>619</v>
      </c>
      <c r="E40" s="24">
        <f>Inputs!$D$36</f>
        <v>20.57</v>
      </c>
    </row>
    <row r="41" spans="2:5" x14ac:dyDescent="0.25">
      <c r="B41" s="6" t="s">
        <v>620</v>
      </c>
      <c r="E41" s="24">
        <f>Inputs!$D$37</f>
        <v>31.565000000000001</v>
      </c>
    </row>
    <row r="42" spans="2:5" x14ac:dyDescent="0.25">
      <c r="B42" s="6" t="s">
        <v>621</v>
      </c>
      <c r="E42" s="24">
        <f>Inputs!$D$38</f>
        <v>2.9470000000000001</v>
      </c>
    </row>
    <row r="44" spans="2:5" x14ac:dyDescent="0.25">
      <c r="B44" s="3" t="s">
        <v>622</v>
      </c>
    </row>
    <row r="45" spans="2:5" x14ac:dyDescent="0.25">
      <c r="B45" s="6" t="s">
        <v>623</v>
      </c>
      <c r="E45" s="11">
        <v>0.88719999999999999</v>
      </c>
    </row>
    <row r="46" spans="2:5" x14ac:dyDescent="0.25">
      <c r="B46" s="6" t="s">
        <v>624</v>
      </c>
      <c r="E46" s="11">
        <v>0.78680000000000005</v>
      </c>
    </row>
    <row r="47" spans="2:5" x14ac:dyDescent="0.25">
      <c r="B47" s="6" t="s">
        <v>13</v>
      </c>
      <c r="E47" s="11">
        <v>0.65690000000000004</v>
      </c>
    </row>
    <row r="48" spans="2:5" x14ac:dyDescent="0.25">
      <c r="B48" s="6" t="s">
        <v>625</v>
      </c>
      <c r="E48" s="11">
        <v>0.46360000000000001</v>
      </c>
    </row>
    <row r="49" spans="2:7" x14ac:dyDescent="0.25">
      <c r="B49" s="6" t="s">
        <v>626</v>
      </c>
      <c r="E49" s="11">
        <v>0.375</v>
      </c>
    </row>
    <row r="52" spans="2:7" x14ac:dyDescent="0.25">
      <c r="B52" s="3" t="s">
        <v>627</v>
      </c>
      <c r="E52" s="8" t="s">
        <v>628</v>
      </c>
      <c r="F52" s="8" t="s">
        <v>629</v>
      </c>
      <c r="G52" s="8" t="s">
        <v>630</v>
      </c>
    </row>
    <row r="53" spans="2:7" x14ac:dyDescent="0.25">
      <c r="B53" s="6" t="s">
        <v>631</v>
      </c>
      <c r="E53" s="33">
        <v>390.762</v>
      </c>
      <c r="F53" s="33">
        <v>174.934</v>
      </c>
      <c r="G53" s="33">
        <v>248.16399999999999</v>
      </c>
    </row>
    <row r="54" spans="2:7" x14ac:dyDescent="0.25">
      <c r="B54" s="6" t="s">
        <v>632</v>
      </c>
      <c r="E54" s="33">
        <v>442.84</v>
      </c>
      <c r="F54" s="33">
        <v>178.678</v>
      </c>
      <c r="G54" s="33">
        <v>226.49</v>
      </c>
    </row>
    <row r="55" spans="2:7" x14ac:dyDescent="0.25">
      <c r="B55" s="6" t="s">
        <v>623</v>
      </c>
      <c r="E55" s="33">
        <v>522.51</v>
      </c>
      <c r="F55" s="33">
        <v>207.41900000000001</v>
      </c>
      <c r="G55" s="33">
        <v>253.19300000000001</v>
      </c>
    </row>
    <row r="56" spans="2:7" x14ac:dyDescent="0.25">
      <c r="B56" s="6" t="s">
        <v>624</v>
      </c>
      <c r="E56" s="33">
        <v>402.41800000000001</v>
      </c>
      <c r="F56" s="33">
        <v>254.494</v>
      </c>
      <c r="G56" s="33">
        <v>258.755</v>
      </c>
    </row>
    <row r="57" spans="2:7" x14ac:dyDescent="0.25">
      <c r="B57" s="6" t="s">
        <v>13</v>
      </c>
      <c r="E57" s="33">
        <v>353.09300000000002</v>
      </c>
      <c r="F57" s="33">
        <v>278.04599999999999</v>
      </c>
      <c r="G57" s="33">
        <v>268.38499999999999</v>
      </c>
    </row>
    <row r="60" spans="2:7" x14ac:dyDescent="0.25">
      <c r="B60" s="3" t="s">
        <v>633</v>
      </c>
      <c r="E60" s="8" t="s">
        <v>634</v>
      </c>
      <c r="F60" s="8" t="s">
        <v>635</v>
      </c>
      <c r="G60" s="8" t="s">
        <v>636</v>
      </c>
    </row>
    <row r="61" spans="2:7" x14ac:dyDescent="0.25">
      <c r="B61" s="6" t="s">
        <v>632</v>
      </c>
      <c r="E61" s="29">
        <v>167.2</v>
      </c>
      <c r="F61" s="29">
        <v>104.8</v>
      </c>
      <c r="G61" s="6">
        <f>E61+F61</f>
        <v>272</v>
      </c>
    </row>
    <row r="62" spans="2:7" x14ac:dyDescent="0.25">
      <c r="B62" s="6" t="s">
        <v>623</v>
      </c>
      <c r="E62" s="29">
        <v>157</v>
      </c>
      <c r="F62" s="29">
        <v>116.7</v>
      </c>
      <c r="G62" s="6">
        <f>E62+F62</f>
        <v>273.7</v>
      </c>
    </row>
    <row r="63" spans="2:7" x14ac:dyDescent="0.25">
      <c r="B63" s="6" t="s">
        <v>624</v>
      </c>
      <c r="E63" s="29">
        <v>181.8</v>
      </c>
      <c r="F63" s="29">
        <v>115.1</v>
      </c>
      <c r="G63" s="6">
        <f>E63+F63</f>
        <v>296.89999999999998</v>
      </c>
    </row>
    <row r="64" spans="2:7" x14ac:dyDescent="0.25">
      <c r="B64" s="6" t="s">
        <v>13</v>
      </c>
      <c r="E64" s="29">
        <v>176</v>
      </c>
      <c r="F64" s="29">
        <v>68.599999999999994</v>
      </c>
      <c r="G64" s="6">
        <f>E64+F64</f>
        <v>244.6</v>
      </c>
    </row>
    <row r="65" spans="2:11" x14ac:dyDescent="0.25">
      <c r="B65" s="6" t="s">
        <v>326</v>
      </c>
      <c r="E65" s="29">
        <v>222.5</v>
      </c>
      <c r="F65" s="29">
        <v>154.4</v>
      </c>
      <c r="G65" s="6">
        <f>E65+F65</f>
        <v>376.9</v>
      </c>
    </row>
    <row r="66" spans="2:11" x14ac:dyDescent="0.25">
      <c r="B66" s="6" t="s">
        <v>637</v>
      </c>
      <c r="E66" s="19">
        <f>Inputs!$D$60</f>
        <v>338</v>
      </c>
      <c r="F66" s="19">
        <f>Inputs!$D$62</f>
        <v>525.9</v>
      </c>
    </row>
    <row r="68" spans="2:11" x14ac:dyDescent="0.25">
      <c r="B68" s="3" t="s">
        <v>638</v>
      </c>
    </row>
    <row r="69" spans="2:11" x14ac:dyDescent="0.25">
      <c r="B69" s="6" t="s">
        <v>639</v>
      </c>
      <c r="E69" s="34">
        <v>64.41</v>
      </c>
    </row>
    <row r="70" spans="2:11" x14ac:dyDescent="0.25">
      <c r="B70" s="6" t="s">
        <v>640</v>
      </c>
      <c r="E70" s="34">
        <v>68.790000000000006</v>
      </c>
    </row>
    <row r="71" spans="2:11" x14ac:dyDescent="0.25">
      <c r="B71" s="6" t="s">
        <v>641</v>
      </c>
      <c r="E71" s="24">
        <f>Inputs!$D$74</f>
        <v>102.66</v>
      </c>
    </row>
    <row r="72" spans="2:11" x14ac:dyDescent="0.25">
      <c r="B72" s="6" t="s">
        <v>642</v>
      </c>
      <c r="E72" s="34">
        <v>117.31</v>
      </c>
    </row>
    <row r="73" spans="2:11" x14ac:dyDescent="0.25">
      <c r="B73" s="6" t="s">
        <v>643</v>
      </c>
      <c r="E73" s="34">
        <v>106.56</v>
      </c>
    </row>
    <row r="74" spans="2:11" x14ac:dyDescent="0.25">
      <c r="B74" s="6" t="s">
        <v>644</v>
      </c>
      <c r="E74" s="34">
        <v>83.45</v>
      </c>
    </row>
    <row r="75" spans="2:11" x14ac:dyDescent="0.25">
      <c r="B75" s="6" t="s">
        <v>645</v>
      </c>
      <c r="E75" s="34">
        <v>81.680000000000007</v>
      </c>
    </row>
    <row r="76" spans="2:11" x14ac:dyDescent="0.25">
      <c r="B76" s="6" t="s">
        <v>646</v>
      </c>
      <c r="E76" s="34">
        <v>89.43</v>
      </c>
    </row>
    <row r="77" spans="2:11" x14ac:dyDescent="0.25">
      <c r="B77" s="6" t="s">
        <v>647</v>
      </c>
      <c r="E77" s="34">
        <v>112.81</v>
      </c>
    </row>
    <row r="78" spans="2:11" x14ac:dyDescent="0.25">
      <c r="B78" s="6" t="s">
        <v>648</v>
      </c>
      <c r="E78" s="34">
        <v>105.5</v>
      </c>
    </row>
    <row r="80" spans="2:11" x14ac:dyDescent="0.25">
      <c r="B80" s="3" t="s">
        <v>649</v>
      </c>
      <c r="E80" s="8" t="s">
        <v>650</v>
      </c>
      <c r="F80" s="8" t="s">
        <v>461</v>
      </c>
      <c r="G80" s="8" t="s">
        <v>651</v>
      </c>
      <c r="H80" s="8" t="s">
        <v>652</v>
      </c>
      <c r="I80" s="8" t="s">
        <v>653</v>
      </c>
      <c r="J80" s="8" t="s">
        <v>654</v>
      </c>
      <c r="K80" s="8" t="s">
        <v>655</v>
      </c>
    </row>
    <row r="81" spans="2:11" x14ac:dyDescent="0.25">
      <c r="B81" s="6" t="s">
        <v>13</v>
      </c>
      <c r="E81" s="34">
        <f>Balance!C21</f>
        <v>3882.9232876712385</v>
      </c>
      <c r="F81" s="34">
        <f>Balance!C11</f>
        <v>3882.9232876712331</v>
      </c>
      <c r="G81" s="34">
        <f>Balance!C22</f>
        <v>-5.4569682106375694E-12</v>
      </c>
      <c r="H81" s="34">
        <f>Balance!C30</f>
        <v>0</v>
      </c>
      <c r="I81" s="34">
        <f>Balance!C33</f>
        <v>177</v>
      </c>
      <c r="J81" s="34">
        <f>Balance!C35</f>
        <v>-5.4569682106375694E-12</v>
      </c>
      <c r="K81" s="34">
        <f>Balance!C36</f>
        <v>177</v>
      </c>
    </row>
    <row r="82" spans="2:11" x14ac:dyDescent="0.25">
      <c r="B82" s="6" t="s">
        <v>326</v>
      </c>
      <c r="E82" s="34">
        <f>Balance!D21</f>
        <v>3803.2803287671277</v>
      </c>
      <c r="F82" s="34">
        <f>Balance!D11</f>
        <v>3993.3522191780826</v>
      </c>
      <c r="G82" s="34">
        <f>Balance!D22</f>
        <v>190.07189041095489</v>
      </c>
      <c r="H82" s="34">
        <f>Balance!D30</f>
        <v>0</v>
      </c>
      <c r="I82" s="34">
        <f>Balance!D33</f>
        <v>248</v>
      </c>
      <c r="J82" s="34">
        <f>Balance!D35</f>
        <v>190.07189041095489</v>
      </c>
      <c r="K82" s="34">
        <f>Balance!D36</f>
        <v>248</v>
      </c>
    </row>
    <row r="83" spans="2:11" x14ac:dyDescent="0.25">
      <c r="B83" s="6" t="s">
        <v>456</v>
      </c>
      <c r="E83" s="34">
        <f>Balance!E21</f>
        <v>3748.6819734794562</v>
      </c>
      <c r="F83" s="34">
        <f>Balance!E11</f>
        <v>4107.0940186301368</v>
      </c>
      <c r="G83" s="34">
        <f>Balance!E22</f>
        <v>358.41204515068057</v>
      </c>
      <c r="H83" s="34">
        <f>Balance!E30</f>
        <v>0</v>
      </c>
      <c r="I83" s="34">
        <f>Balance!E33</f>
        <v>319</v>
      </c>
      <c r="J83" s="34">
        <f>Balance!E35</f>
        <v>358.41204515068057</v>
      </c>
      <c r="K83" s="34">
        <f>Balance!E36</f>
        <v>319</v>
      </c>
    </row>
    <row r="84" spans="2:11" x14ac:dyDescent="0.25">
      <c r="B84" s="6" t="s">
        <v>457</v>
      </c>
      <c r="E84" s="34">
        <f>Balance!F21</f>
        <v>3886.5156061159487</v>
      </c>
      <c r="F84" s="34">
        <f>Balance!F11</f>
        <v>4224.2480720657531</v>
      </c>
      <c r="G84" s="34">
        <f>Balance!F22</f>
        <v>337.73246594980446</v>
      </c>
      <c r="H84" s="34">
        <f>Balance!F30</f>
        <v>25.919999999999998</v>
      </c>
      <c r="I84" s="34">
        <f>Balance!F33</f>
        <v>390</v>
      </c>
      <c r="J84" s="34">
        <f>Balance!F35</f>
        <v>450.05246594980446</v>
      </c>
      <c r="K84" s="34">
        <f>Balance!F36</f>
        <v>364.08</v>
      </c>
    </row>
    <row r="85" spans="2:11" x14ac:dyDescent="0.25">
      <c r="B85" s="6" t="s">
        <v>458</v>
      </c>
      <c r="E85" s="34">
        <f>Balance!G21</f>
        <v>4601.8934915691661</v>
      </c>
      <c r="F85" s="34">
        <f>Balance!G11</f>
        <v>4344.9167471044375</v>
      </c>
      <c r="G85" s="34">
        <f>Balance!G22</f>
        <v>-256.97674446472865</v>
      </c>
      <c r="H85" s="34">
        <f>Balance!G30</f>
        <v>120.96</v>
      </c>
      <c r="I85" s="34">
        <f>Balance!G33</f>
        <v>414</v>
      </c>
      <c r="J85" s="34">
        <f>Balance!G35</f>
        <v>267.18325553527131</v>
      </c>
      <c r="K85" s="34">
        <f>Balance!G36</f>
        <v>293.04000000000002</v>
      </c>
    </row>
    <row r="86" spans="2:11" x14ac:dyDescent="0.25">
      <c r="B86" s="6" t="s">
        <v>459</v>
      </c>
      <c r="E86" s="34">
        <f>Balance!H21</f>
        <v>4526.7885199715065</v>
      </c>
      <c r="F86" s="34">
        <f>Balance!H11</f>
        <v>4469.2054823942826</v>
      </c>
      <c r="G86" s="34">
        <f>Balance!H22</f>
        <v>-57.583037577223877</v>
      </c>
      <c r="H86" s="34">
        <f>Balance!H30</f>
        <v>120.96</v>
      </c>
      <c r="I86" s="34">
        <f>Balance!H33</f>
        <v>438</v>
      </c>
      <c r="J86" s="34">
        <f>Balance!H35</f>
        <v>466.57696242277609</v>
      </c>
      <c r="K86" s="34">
        <f>Balance!H36</f>
        <v>317.04000000000002</v>
      </c>
    </row>
  </sheetData>
  <pageMargins left="0.75" right="0.75" top="1" bottom="1" header="0.511811023622047" footer="0.511811023622047"/>
  <pageSetup paperSize="9"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2:E14"/>
  <sheetViews>
    <sheetView showGridLines="0" zoomScaleNormal="100" workbookViewId="0"/>
  </sheetViews>
  <sheetFormatPr defaultColWidth="8.7109375" defaultRowHeight="15" x14ac:dyDescent="0.25"/>
  <cols>
    <col min="1" max="1" width="3" customWidth="1"/>
    <col min="2" max="2" width="70" customWidth="1"/>
    <col min="3" max="4" width="14" customWidth="1"/>
    <col min="5" max="5" width="60" customWidth="1"/>
  </cols>
  <sheetData>
    <row r="2" spans="2:5" x14ac:dyDescent="0.25">
      <c r="B2" s="2" t="s">
        <v>656</v>
      </c>
    </row>
    <row r="4" spans="2:5" x14ac:dyDescent="0.25">
      <c r="B4" s="22" t="s">
        <v>657</v>
      </c>
      <c r="C4" s="22" t="s">
        <v>658</v>
      </c>
      <c r="D4" s="22" t="s">
        <v>659</v>
      </c>
      <c r="E4" s="22" t="s">
        <v>660</v>
      </c>
    </row>
    <row r="5" spans="2:5" ht="36" customHeight="1" x14ac:dyDescent="0.25">
      <c r="B5" s="6" t="s">
        <v>661</v>
      </c>
      <c r="C5" s="25">
        <f>((692.43*0.9+400*0.8+683.49*0.57)*365*(Inputs!$D$40-Inputs!$D$41)/1000000)*15240/1000</f>
        <v>15.568773037397996</v>
      </c>
      <c r="D5" s="24">
        <f>Inputs!$D$68</f>
        <v>15.67</v>
      </c>
      <c r="E5" s="9" t="s">
        <v>662</v>
      </c>
    </row>
    <row r="6" spans="2:5" ht="36" customHeight="1" x14ac:dyDescent="0.25">
      <c r="B6" s="6" t="s">
        <v>663</v>
      </c>
      <c r="C6" s="25">
        <f>Inputs!$D$51*(19.5+Inputs!$D$39)/10</f>
        <v>16.747388216151059</v>
      </c>
      <c r="D6" s="24">
        <f>Inputs!$D$54</f>
        <v>14</v>
      </c>
      <c r="E6" s="9" t="s">
        <v>664</v>
      </c>
    </row>
    <row r="7" spans="2:5" ht="36" customHeight="1" x14ac:dyDescent="0.25">
      <c r="B7" s="6" t="s">
        <v>665</v>
      </c>
      <c r="C7" s="25">
        <f>Inputs!$D$76*Inputs!$D$95</f>
        <v>428.91170779171068</v>
      </c>
      <c r="D7" s="24">
        <f>Inputs!$D$70*1000000000000/16500/365/1000</f>
        <v>431.71440431714399</v>
      </c>
      <c r="E7" s="9" t="s">
        <v>666</v>
      </c>
    </row>
    <row r="8" spans="2:5" ht="36" customHeight="1" x14ac:dyDescent="0.25">
      <c r="B8" s="6" t="s">
        <v>667</v>
      </c>
      <c r="C8" s="25">
        <f>Balance!C15</f>
        <v>5837.5205479452097</v>
      </c>
      <c r="D8" s="24">
        <f>Balance!C11+Balance!C19</f>
        <v>5837.5205479452043</v>
      </c>
      <c r="E8" s="9" t="s">
        <v>668</v>
      </c>
    </row>
    <row r="9" spans="2:5" ht="36" customHeight="1" x14ac:dyDescent="0.25">
      <c r="B9" s="6" t="s">
        <v>669</v>
      </c>
      <c r="C9" s="25">
        <f>Inputs!$D$60+Inputs!$D$64*(91.9-70)+Inputs!$D$65*(17449-16500)/100</f>
        <v>454.07000000000005</v>
      </c>
      <c r="D9" s="24">
        <f>Inputs!$D$61*12/9-Inputs!$D$71-35</f>
        <v>431.1</v>
      </c>
      <c r="E9" s="9" t="s">
        <v>670</v>
      </c>
    </row>
    <row r="10" spans="2:5" ht="36" customHeight="1" x14ac:dyDescent="0.25">
      <c r="B10" s="6" t="s">
        <v>671</v>
      </c>
      <c r="C10" s="25">
        <f>(Inputs!$D$50-Inputs!$D$5+Stack!C9)*365/1000/Inputs!$D$25</f>
        <v>94.80268181818235</v>
      </c>
      <c r="D10" s="24">
        <f>Inputs!$D$26+Inputs!$D$27</f>
        <v>122</v>
      </c>
      <c r="E10" s="9" t="s">
        <v>672</v>
      </c>
    </row>
    <row r="11" spans="2:5" ht="24.75" x14ac:dyDescent="0.25">
      <c r="B11" s="6" t="s">
        <v>673</v>
      </c>
      <c r="C11" s="16">
        <f>Balance!G14</f>
        <v>1400</v>
      </c>
      <c r="D11" s="19">
        <f>Inputs!$D$103</f>
        <v>2000</v>
      </c>
      <c r="E11" s="9" t="s">
        <v>674</v>
      </c>
    </row>
    <row r="12" spans="2:5" ht="24.75" x14ac:dyDescent="0.25">
      <c r="B12" s="6" t="s">
        <v>675</v>
      </c>
      <c r="C12" s="16">
        <f>Balance!F35</f>
        <v>450.05246594980446</v>
      </c>
      <c r="D12" s="19">
        <f>Inputs!$D$112</f>
        <v>390</v>
      </c>
      <c r="E12" s="9" t="s">
        <v>676</v>
      </c>
    </row>
    <row r="13" spans="2:5" x14ac:dyDescent="0.25">
      <c r="B13" s="8"/>
    </row>
    <row r="14" spans="2:5" x14ac:dyDescent="0.25">
      <c r="B14" s="8" t="s">
        <v>416</v>
      </c>
    </row>
  </sheetData>
  <pageMargins left="0.75" right="0.75" top="1" bottom="1" header="0.511811023622047" footer="0.511811023622047"/>
  <pageSetup paperSize="9"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E29"/>
  <sheetViews>
    <sheetView showGridLines="0" zoomScaleNormal="100" workbookViewId="0"/>
  </sheetViews>
  <sheetFormatPr defaultColWidth="8.7109375" defaultRowHeight="15" x14ac:dyDescent="0.25"/>
  <cols>
    <col min="1" max="1" width="3" customWidth="1"/>
    <col min="2" max="2" width="36" customWidth="1"/>
    <col min="3" max="3" width="80" customWidth="1"/>
    <col min="4" max="4" width="14" customWidth="1"/>
    <col min="5" max="5" width="16" customWidth="1"/>
  </cols>
  <sheetData>
    <row r="2" spans="2:5" x14ac:dyDescent="0.25">
      <c r="B2" s="2" t="s">
        <v>677</v>
      </c>
    </row>
    <row r="4" spans="2:5" x14ac:dyDescent="0.25">
      <c r="B4" s="22" t="s">
        <v>678</v>
      </c>
      <c r="C4" s="22" t="s">
        <v>679</v>
      </c>
      <c r="D4" s="22" t="s">
        <v>5</v>
      </c>
      <c r="E4" s="22" t="s">
        <v>6</v>
      </c>
    </row>
    <row r="5" spans="2:5" ht="24.75" customHeight="1" x14ac:dyDescent="0.25">
      <c r="B5" s="6" t="s">
        <v>680</v>
      </c>
      <c r="C5" s="9" t="s">
        <v>681</v>
      </c>
      <c r="D5" s="8" t="s">
        <v>326</v>
      </c>
      <c r="E5" s="8" t="s">
        <v>682</v>
      </c>
    </row>
    <row r="6" spans="2:5" x14ac:dyDescent="0.25">
      <c r="B6" s="6" t="s">
        <v>683</v>
      </c>
      <c r="C6" s="9" t="s">
        <v>684</v>
      </c>
      <c r="D6" s="8" t="s">
        <v>326</v>
      </c>
      <c r="E6" s="8" t="s">
        <v>682</v>
      </c>
    </row>
    <row r="7" spans="2:5" ht="24.75" customHeight="1" x14ac:dyDescent="0.25">
      <c r="B7" s="6" t="s">
        <v>685</v>
      </c>
      <c r="C7" s="9" t="s">
        <v>686</v>
      </c>
      <c r="D7" s="8" t="s">
        <v>41</v>
      </c>
      <c r="E7" s="8" t="s">
        <v>682</v>
      </c>
    </row>
    <row r="8" spans="2:5" x14ac:dyDescent="0.25">
      <c r="B8" s="6" t="s">
        <v>687</v>
      </c>
      <c r="C8" s="9" t="s">
        <v>688</v>
      </c>
      <c r="D8" s="8" t="s">
        <v>326</v>
      </c>
      <c r="E8" s="8" t="s">
        <v>682</v>
      </c>
    </row>
    <row r="9" spans="2:5" ht="24.75" customHeight="1" x14ac:dyDescent="0.25">
      <c r="B9" s="6" t="s">
        <v>689</v>
      </c>
      <c r="C9" s="9" t="s">
        <v>690</v>
      </c>
      <c r="D9" s="8" t="s">
        <v>41</v>
      </c>
      <c r="E9" s="8" t="s">
        <v>682</v>
      </c>
    </row>
    <row r="10" spans="2:5" ht="24.75" customHeight="1" x14ac:dyDescent="0.25">
      <c r="B10" s="6" t="s">
        <v>691</v>
      </c>
      <c r="C10" s="9" t="s">
        <v>692</v>
      </c>
      <c r="D10" s="8" t="s">
        <v>114</v>
      </c>
      <c r="E10" s="8" t="s">
        <v>682</v>
      </c>
    </row>
    <row r="11" spans="2:5" ht="24.75" customHeight="1" x14ac:dyDescent="0.25">
      <c r="B11" s="6" t="s">
        <v>693</v>
      </c>
      <c r="C11" s="9" t="s">
        <v>694</v>
      </c>
      <c r="D11" s="8" t="s">
        <v>216</v>
      </c>
      <c r="E11" s="8" t="s">
        <v>695</v>
      </c>
    </row>
    <row r="12" spans="2:5" x14ac:dyDescent="0.25">
      <c r="B12" s="6" t="s">
        <v>696</v>
      </c>
      <c r="C12" s="9" t="s">
        <v>697</v>
      </c>
      <c r="D12" s="8" t="s">
        <v>104</v>
      </c>
      <c r="E12" s="8" t="s">
        <v>682</v>
      </c>
    </row>
    <row r="13" spans="2:5" x14ac:dyDescent="0.25">
      <c r="B13" s="6" t="s">
        <v>698</v>
      </c>
      <c r="C13" s="9" t="s">
        <v>699</v>
      </c>
      <c r="D13" s="8" t="s">
        <v>41</v>
      </c>
      <c r="E13" s="8" t="s">
        <v>682</v>
      </c>
    </row>
    <row r="14" spans="2:5" x14ac:dyDescent="0.25">
      <c r="B14" s="6" t="s">
        <v>700</v>
      </c>
      <c r="C14" s="9" t="s">
        <v>701</v>
      </c>
      <c r="D14" s="8" t="s">
        <v>63</v>
      </c>
      <c r="E14" s="8" t="s">
        <v>682</v>
      </c>
    </row>
    <row r="15" spans="2:5" x14ac:dyDescent="0.25">
      <c r="B15" s="6" t="s">
        <v>702</v>
      </c>
      <c r="C15" s="9" t="s">
        <v>703</v>
      </c>
      <c r="D15" s="8" t="s">
        <v>704</v>
      </c>
      <c r="E15" s="8" t="s">
        <v>682</v>
      </c>
    </row>
    <row r="16" spans="2:5" ht="24.75" customHeight="1" x14ac:dyDescent="0.25">
      <c r="B16" s="6" t="s">
        <v>705</v>
      </c>
      <c r="C16" s="9" t="s">
        <v>706</v>
      </c>
      <c r="D16" s="8" t="s">
        <v>707</v>
      </c>
      <c r="E16" s="8" t="s">
        <v>708</v>
      </c>
    </row>
    <row r="17" spans="2:5" ht="24.75" customHeight="1" x14ac:dyDescent="0.25">
      <c r="B17" s="6" t="s">
        <v>709</v>
      </c>
      <c r="C17" s="9" t="s">
        <v>710</v>
      </c>
      <c r="D17" s="8" t="s">
        <v>326</v>
      </c>
      <c r="E17" s="8" t="s">
        <v>711</v>
      </c>
    </row>
    <row r="18" spans="2:5" x14ac:dyDescent="0.25">
      <c r="B18" s="6" t="s">
        <v>712</v>
      </c>
      <c r="C18" s="9" t="s">
        <v>713</v>
      </c>
      <c r="D18" s="8" t="s">
        <v>714</v>
      </c>
      <c r="E18" s="8" t="s">
        <v>711</v>
      </c>
    </row>
    <row r="19" spans="2:5" ht="24.75" customHeight="1" x14ac:dyDescent="0.25">
      <c r="B19" s="6" t="s">
        <v>715</v>
      </c>
      <c r="C19" s="9" t="s">
        <v>716</v>
      </c>
      <c r="D19" s="8" t="s">
        <v>104</v>
      </c>
      <c r="E19" s="8" t="s">
        <v>717</v>
      </c>
    </row>
    <row r="20" spans="2:5" ht="24.75" customHeight="1" x14ac:dyDescent="0.25">
      <c r="B20" s="6" t="s">
        <v>718</v>
      </c>
      <c r="C20" s="9" t="s">
        <v>719</v>
      </c>
      <c r="D20" s="8" t="s">
        <v>216</v>
      </c>
      <c r="E20" s="8" t="s">
        <v>711</v>
      </c>
    </row>
    <row r="21" spans="2:5" ht="24.75" customHeight="1" x14ac:dyDescent="0.25">
      <c r="B21" s="6" t="s">
        <v>720</v>
      </c>
      <c r="C21" s="9" t="s">
        <v>721</v>
      </c>
      <c r="D21" s="8" t="s">
        <v>722</v>
      </c>
      <c r="E21" s="8" t="s">
        <v>682</v>
      </c>
    </row>
    <row r="22" spans="2:5" ht="24.75" customHeight="1" x14ac:dyDescent="0.25">
      <c r="B22" s="6" t="s">
        <v>723</v>
      </c>
      <c r="C22" s="9" t="s">
        <v>724</v>
      </c>
      <c r="D22" s="8" t="s">
        <v>725</v>
      </c>
      <c r="E22" s="8" t="s">
        <v>711</v>
      </c>
    </row>
    <row r="23" spans="2:5" x14ac:dyDescent="0.25">
      <c r="B23" s="6" t="s">
        <v>726</v>
      </c>
      <c r="C23" s="9" t="s">
        <v>727</v>
      </c>
      <c r="D23" s="8" t="s">
        <v>728</v>
      </c>
      <c r="E23" s="8" t="s">
        <v>711</v>
      </c>
    </row>
    <row r="24" spans="2:5" ht="36.75" x14ac:dyDescent="0.25">
      <c r="B24" s="6" t="s">
        <v>729</v>
      </c>
      <c r="C24" s="9" t="s">
        <v>730</v>
      </c>
      <c r="D24" s="8" t="s">
        <v>77</v>
      </c>
      <c r="E24" s="8" t="s">
        <v>731</v>
      </c>
    </row>
    <row r="25" spans="2:5" ht="24.75" x14ac:dyDescent="0.25">
      <c r="B25" s="6" t="s">
        <v>732</v>
      </c>
      <c r="C25" s="9" t="s">
        <v>733</v>
      </c>
      <c r="D25" s="8" t="s">
        <v>734</v>
      </c>
      <c r="E25" s="8" t="s">
        <v>711</v>
      </c>
    </row>
    <row r="26" spans="2:5" ht="24.75" x14ac:dyDescent="0.25">
      <c r="B26" s="6" t="s">
        <v>735</v>
      </c>
      <c r="C26" s="9" t="s">
        <v>736</v>
      </c>
      <c r="D26" s="8" t="s">
        <v>737</v>
      </c>
      <c r="E26" s="8" t="s">
        <v>711</v>
      </c>
    </row>
    <row r="27" spans="2:5" ht="36.75" x14ac:dyDescent="0.25">
      <c r="B27" s="6" t="s">
        <v>738</v>
      </c>
      <c r="C27" s="9" t="s">
        <v>739</v>
      </c>
      <c r="D27" s="8" t="s">
        <v>41</v>
      </c>
      <c r="E27" s="8" t="s">
        <v>740</v>
      </c>
    </row>
    <row r="29" spans="2:5" x14ac:dyDescent="0.25">
      <c r="B29" s="6" t="s">
        <v>741</v>
      </c>
    </row>
  </sheetData>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Inputs</vt:lpstr>
      <vt:lpstr>Scenarios</vt:lpstr>
      <vt:lpstr>Balance</vt:lpstr>
      <vt:lpstr>Stack</vt:lpstr>
      <vt:lpstr>Fiscal</vt:lpstr>
      <vt:lpstr>Outputs</vt:lpstr>
      <vt:lpstr>Checks</vt:lpstr>
      <vt:lpstr>Sources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indonesia-gas-balance-v1</dc:title>
  <dc:creator>Marginal Barrel</dc:creator>
  <cp:lastModifiedBy>Marginal Barrel</cp:lastModifiedBy>
  <dcterms:created xsi:type="dcterms:W3CDTF">2026-11-06T13:14:31Z</dcterms:created>
  <dcterms:modified xsi:type="dcterms:W3CDTF">2026-11-07T13:21:02Z</dcterms:modified>
</cp:coreProperties>
</file>